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DIZ\"/>
    </mc:Choice>
  </mc:AlternateContent>
  <workbookProtection workbookAlgorithmName="SHA-512" workbookHashValue="7T+7Ko5DaKNc6z+4DBlBRFHGLRJFbheujSb1lTliJXpIrGqKKQyabUM2Hr0rvLo5N1SyElocNCQMhXwbYWqVuA==" workbookSaltValue="MjUb02+0xlFWejw+ToDv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AB13" i="21" s="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BH11" i="16"/>
  <c r="BH17" i="16"/>
  <c r="BM16" i="11"/>
  <c r="BL17" i="11"/>
  <c r="BF10" i="11"/>
  <c r="S13" i="16"/>
  <c r="P13" i="16"/>
  <c r="AM13" i="20"/>
  <c r="K18" i="2"/>
  <c r="M18" i="2"/>
  <c r="N18" i="2"/>
  <c r="T13" i="12"/>
  <c r="V11"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T13" i="16"/>
  <c r="AZ16" i="11"/>
  <c r="AZ11" i="11"/>
  <c r="X17" i="17"/>
  <c r="S15" i="16"/>
  <c r="P15" i="17"/>
  <c r="BF12" i="11"/>
  <c r="BL15" i="11"/>
  <c r="BL10" i="11"/>
  <c r="BJ10" i="11"/>
  <c r="BK16" i="11"/>
  <c r="BH11" i="11"/>
  <c r="BG16" i="11"/>
  <c r="S17" i="17"/>
  <c r="BM9" i="11"/>
  <c r="BH12" i="16"/>
  <c r="BK10" i="11"/>
  <c r="T13" i="20"/>
  <c r="BF15" i="8"/>
  <c r="BF9" i="8"/>
  <c r="AU18" i="21"/>
  <c r="S15" i="17"/>
  <c r="AH13" i="16"/>
  <c r="S16" i="17"/>
  <c r="L12" i="2"/>
  <c r="L17" i="2"/>
  <c r="X15" i="16"/>
  <c r="X18" i="16" s="1"/>
  <c r="V10" i="16"/>
  <c r="AP13" i="16"/>
  <c r="T18" i="17"/>
  <c r="BG15" i="13"/>
  <c r="BE16" i="13"/>
  <c r="BE15" i="13"/>
  <c r="AX20" i="20"/>
  <c r="S19" i="8" l="1"/>
  <c r="B9" i="6"/>
  <c r="H10" i="2"/>
  <c r="M13" i="2"/>
  <c r="N13" i="2"/>
  <c r="T9" i="11"/>
  <c r="C12" i="14"/>
  <c r="K12" i="14" s="1"/>
  <c r="V9" i="16"/>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BW10" i="20"/>
  <c r="U10" i="17"/>
  <c r="BW11" i="20"/>
  <c r="BV11" i="16"/>
  <c r="BW12" i="20"/>
  <c r="BV12" i="16"/>
  <c r="BU10" i="17"/>
  <c r="BV17" i="16"/>
  <c r="BU11" i="17"/>
  <c r="AZ15" i="11"/>
  <c r="AZ18" i="11" s="1"/>
  <c r="AP17" i="20"/>
  <c r="AZ9" i="11"/>
  <c r="BK17" i="11"/>
  <c r="R17" i="20"/>
  <c r="R18" i="20" s="1"/>
  <c r="BG15" i="11"/>
  <c r="AP15" i="20"/>
  <c r="BJ12" i="11"/>
  <c r="BJ15" i="11"/>
  <c r="BJ18" i="11" s="1"/>
  <c r="BI15" i="11"/>
  <c r="BH9" i="11"/>
  <c r="BM12" i="11"/>
  <c r="AP10" i="21"/>
  <c r="BK11" i="11"/>
  <c r="X11" i="17"/>
  <c r="BK9" i="11"/>
  <c r="BK12" i="11"/>
  <c r="P17" i="17"/>
  <c r="BG10" i="11"/>
  <c r="BL9" i="11"/>
  <c r="BF11" i="11"/>
  <c r="AL16" i="11"/>
  <c r="C16" i="6"/>
  <c r="BE9" i="13"/>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Q9" i="11" s="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J18" i="2" s="1"/>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Y11" i="11"/>
  <c r="F11" i="11"/>
  <c r="AQ11" i="11" s="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H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Z13" i="11" l="1"/>
  <c r="AZ19" i="1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U17" i="11"/>
  <c r="T20" i="20"/>
  <c r="AV20" i="21"/>
  <c r="AN18" i="11" l="1"/>
  <c r="AO13" i="17"/>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9" i="8" s="1"/>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Z20" i="17"/>
  <c r="O12" i="11"/>
  <c r="BA20" i="16"/>
  <c r="BM19" i="11" l="1"/>
  <c r="BG19" i="11"/>
  <c r="G19" i="3"/>
  <c r="BV21" i="16"/>
  <c r="BV19" i="16"/>
  <c r="Q13" i="11"/>
  <c r="BG19" i="8"/>
  <c r="H19" i="2"/>
  <c r="I19" i="3"/>
  <c r="J19" i="2"/>
  <c r="S19" i="17"/>
  <c r="F19" i="11"/>
  <c r="AQ19" i="11" s="1"/>
  <c r="AQ13" i="11"/>
  <c r="AQ21" i="11" s="1"/>
  <c r="F19" i="17"/>
  <c r="F21" i="16"/>
  <c r="E19" i="6"/>
  <c r="C19" i="6"/>
  <c r="AO19" i="11"/>
  <c r="AM19" i="11"/>
  <c r="B19" i="6"/>
  <c r="H19" i="7" s="1"/>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<sst xmlns="http://schemas.openxmlformats.org/spreadsheetml/2006/main" count="2102" uniqueCount="917">
  <si>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</si>
  <si>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</si>
  <si>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</si>
  <si>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</si>
  <si>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</si>
  <si>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</si>
  <si>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</si>
  <si>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</si>
  <si>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</si>
  <si>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</si>
  <si>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</si>
  <si>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</si>
  <si>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</si>
  <si>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</si>
  <si>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</si>
  <si>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</si>
  <si>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</si>
  <si>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</si>
  <si>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</si>
  <si>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</si>
  <si>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</si>
  <si>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</si>
  <si>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</si>
  <si>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</si>
  <si>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</si>
  <si>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</si>
  <si>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</si>
  <si>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</si>
  <si>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</si>
  <si>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</si>
  <si>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</si>
  <si>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</si>
  <si>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</si>
  <si>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</si>
  <si>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</si>
  <si>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</si>
  <si>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</si>
  <si>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</si>
  <si>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</si>
  <si>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</si>
  <si>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</si>
  <si>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</si>
  <si>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</si>
  <si>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</si>
  <si>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</si>
  <si>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</si>
  <si>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</si>
  <si>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</si>
  <si>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</si>
  <si>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</si>
  <si>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</si>
  <si>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</si>
  <si>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</si>
  <si>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</si>
  <si>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</si>
  <si>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</si>
  <si>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</si>
  <si>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</si>
  <si>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</si>
  <si>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</si>
  <si>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</si>
  <si>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</si>
  <si>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</si>
  <si>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</si>
  <si>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</si>
  <si>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</si>
  <si>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</si>
  <si>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</si>
  <si>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</si>
  <si>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</si>
  <si>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</si>
  <si>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</si>
  <si>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</si>
  <si>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</si>
  <si>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</si>
  <si>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</si>
  <si>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</si>
  <si>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</si>
  <si>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</si>
  <si>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</si>
  <si>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</si>
  <si>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</si>
  <si>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</si>
  <si>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</si>
  <si>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</si>
  <si>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</si>
  <si>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</si>
  <si>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</si>
  <si>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</si>
  <si>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</si>
  <si>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</si>
  <si>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</si>
  <si>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</si>
  <si>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</si>
  <si>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</si>
  <si>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</si>
  <si>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</si>
  <si>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</si>
  <si>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</si>
  <si>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</si>
  <si>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</si>
  <si>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</si>
  <si>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</si>
  <si>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</si>
  <si>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</si>
  <si>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</si>
  <si>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</si>
  <si>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</si>
  <si>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</si>
  <si>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</si>
  <si>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</si>
  <si>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</si>
  <si>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</si>
  <si>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</si>
  <si>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</si>
  <si>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</si>
  <si>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</si>
  <si>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</si>
  <si>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</si>
  <si>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</si>
  <si>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</si>
  <si>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</si>
  <si>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</si>
  <si>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</si>
  <si>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</si>
  <si>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</si>
  <si>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</si>
  <si>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</si>
  <si>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</si>
  <si>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</si>
  <si>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</si>
  <si>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</si>
  <si>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</si>
  <si>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</si>
  <si>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</si>
  <si>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</si>
  <si>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</si>
  <si>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</si>
  <si>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</si>
  <si>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</si>
  <si>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</si>
  <si>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</si>
  <si>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</si>
  <si>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</si>
  <si>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</si>
  <si>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</si>
  <si>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</si>
  <si>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</si>
  <si>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</si>
  <si>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</si>
  <si>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</si>
  <si>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</si>
  <si>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</si>
  <si>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</si>
  <si>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</si>
  <si>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</si>
  <si>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</si>
  <si>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</si>
  <si>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</si>
  <si>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</si>
  <si>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</si>
  <si>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</si>
  <si>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</si>
  <si>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</si>
  <si>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</si>
  <si>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</si>
  <si>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</si>
  <si>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</si>
  <si>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</si>
  <si>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</si>
  <si>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</si>
  <si>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</si>
  <si>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</si>
  <si>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</si>
  <si>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</si>
  <si>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</si>
  <si>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</si>
  <si>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</si>
  <si>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</si>
  <si>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</si>
  <si>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</si>
  <si>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</si>
  <si>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</si>
  <si>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</si>
  <si>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</si>
  <si>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</si>
  <si>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</si>
  <si>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</si>
  <si>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</si>
  <si>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</si>
  <si>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</si>
  <si>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</si>
  <si>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</si>
  <si>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</si>
  <si>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</si>
  <si>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</si>
  <si>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</si>
  <si>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</si>
  <si>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</si>
  <si>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</si>
  <si>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</si>
  <si>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</si>
  <si>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</si>
  <si>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</si>
  <si>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</si>
  <si>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</si>
  <si>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</si>
  <si>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</si>
  <si>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</si>
  <si>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</si>
  <si>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</si>
  <si>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</si>
  <si>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</si>
  <si>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</si>
  <si>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</si>
  <si>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</si>
  <si>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</si>
  <si>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</si>
  <si>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</si>
  <si>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</si>
  <si>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</si>
  <si>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</si>
  <si>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</si>
  <si>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</si>
  <si>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</si>
  <si>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</si>
  <si>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</si>
  <si>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</si>
  <si>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</si>
  <si>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</si>
  <si>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</si>
  <si>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</si>
  <si>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</si>
  <si>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</si>
  <si>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</si>
  <si>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</si>
  <si>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</si>
  <si>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</si>
  <si>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</si>
  <si>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</si>
  <si>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</si>
  <si>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</si>
  <si>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</si>
  <si>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</si>
  <si>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</si>
  <si>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</si>
  <si>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</si>
  <si>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</si>
  <si>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</si>
  <si>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</si>
  <si>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</si>
  <si>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</si>
  <si>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</si>
  <si>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</si>
  <si>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</si>
  <si>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</si>
  <si>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</si>
  <si>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</si>
  <si>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</si>
  <si>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</si>
  <si>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</si>
  <si>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</si>
  <si>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</si>
  <si>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</si>
  <si>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</si>
  <si>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</si>
  <si>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</si>
  <si>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</si>
  <si>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</si>
  <si>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</si>
  <si>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</si>
  <si>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</si>
  <si>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</si>
  <si>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</si>
  <si>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</si>
  <si>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</si>
  <si>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</si>
  <si>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</si>
  <si>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</si>
  <si>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</si>
  <si>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</si>
  <si>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</si>
  <si>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</si>
  <si>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</si>
  <si>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</si>
  <si>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</si>
  <si>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</si>
  <si>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</si>
  <si>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</si>
  <si>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</si>
  <si>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</si>
  <si>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</si>
  <si>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</si>
  <si>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</si>
  <si>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</si>
  <si>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</si>
  <si>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</si>
  <si>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</si>
  <si>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</si>
  <si>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</si>
  <si>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</si>
  <si>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</si>
  <si>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</si>
  <si>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</si>
  <si>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</si>
  <si>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</si>
  <si>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</si>
  <si>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</si>
  <si>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</si>
  <si>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</si>
  <si>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</si>
  <si>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</si>
  <si>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</si>
  <si>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</si>
  <si>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</si>
  <si>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</si>
  <si>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</si>
  <si>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</si>
  <si>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</si>
  <si>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</si>
  <si>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</si>
  <si>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</si>
  <si>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</si>
  <si>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</si>
  <si>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</si>
  <si>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</si>
  <si>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</si>
  <si>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</si>
  <si>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</si>
  <si>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</si>
  <si>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</si>
  <si>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</si>
  <si>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</si>
  <si>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</si>
  <si>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</si>
  <si>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</si>
  <si>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</si>
  <si>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</si>
  <si>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</si>
  <si>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</si>
  <si>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</si>
  <si>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</si>
  <si>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</si>
  <si>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</si>
  <si>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</si>
  <si>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</si>
  <si>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</si>
  <si>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</si>
  <si>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</si>
  <si>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</si>
  <si>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</si>
  <si>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</si>
  <si>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</si>
  <si>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</si>
  <si>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</si>
  <si>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</si>
  <si>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</si>
  <si>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</si>
  <si>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</si>
  <si>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</si>
  <si>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</si>
  <si>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</si>
  <si>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</si>
  <si>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</si>
  <si>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</si>
  <si>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</si>
  <si>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</si>
  <si>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</si>
  <si>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</si>
  <si>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</si>
  <si>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</si>
  <si>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</si>
  <si>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</si>
  <si>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</si>
  <si>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</si>
  <si>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</si>
  <si>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</si>
  <si>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</si>
  <si>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</si>
  <si>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</si>
  <si>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</si>
  <si>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</si>
  <si>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</si>
  <si>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</si>
  <si>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</si>
  <si>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</si>
  <si>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</si>
  <si>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</si>
  <si>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</si>
  <si>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</si>
  <si>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</si>
  <si>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</si>
  <si>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</si>
  <si>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</si>
  <si>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</si>
  <si>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</si>
  <si>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</si>
  <si>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</si>
  <si>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</si>
  <si>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</si>
  <si>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</si>
  <si>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</si>
  <si>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</si>
  <si>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</si>
  <si>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</si>
  <si>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</si>
  <si>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</si>
  <si>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</si>
  <si>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</si>
  <si>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</si>
  <si>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</si>
  <si>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</si>
  <si>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</si>
  <si>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</si>
  <si>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</si>
  <si>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</si>
  <si>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</si>
  <si>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</si>
  <si>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</si>
  <si>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</si>
  <si>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</si>
  <si>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</si>
  <si>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</si>
  <si>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</si>
  <si>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</si>
  <si>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</si>
  <si>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</si>
  <si>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</si>
  <si>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</si>
  <si>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</si>
  <si>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</si>
  <si>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</si>
  <si>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</si>
  <si>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</si>
  <si>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</si>
  <si>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</si>
  <si>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</si>
  <si>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</si>
  <si>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</si>
  <si>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</si>
  <si>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</si>
  <si>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</si>
  <si>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</si>
  <si>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</si>
  <si>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</si>
  <si>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</si>
  <si>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</si>
  <si>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</si>
  <si>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</si>
  <si>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</si>
  <si>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</si>
  <si>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</si>
  <si>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</si>
  <si>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</si>
  <si>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</si>
  <si>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</si>
  <si>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</si>
  <si>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</si>
  <si>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</si>
  <si>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</si>
  <si>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</si>
  <si>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</si>
  <si>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</si>
  <si>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</si>
  <si>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</si>
  <si>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</si>
  <si>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</si>
  <si>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</si>
  <si>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</si>
  <si>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</si>
  <si>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</si>
  <si>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</si>
  <si>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</si>
  <si>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</si>
  <si>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</si>
  <si>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</si>
  <si>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</si>
  <si>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</si>
  <si>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</si>
  <si>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</si>
  <si>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</si>
  <si>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</si>
  <si>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</si>
  <si>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</si>
  <si>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</si>
  <si>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</si>
  <si>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</si>
  <si>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</si>
  <si>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</si>
  <si>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</si>
  <si>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</si>
  <si>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</si>
  <si>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</si>
  <si>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</si>
  <si>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</si>
  <si>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</si>
  <si>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</si>
  <si>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</si>
  <si>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</si>
  <si>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</si>
  <si>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</si>
  <si>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</si>
  <si>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</si>
  <si>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</si>
  <si>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</si>
  <si>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</si>
  <si>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</si>
  <si>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</si>
  <si>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</si>
  <si>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</si>
  <si>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</si>
  <si>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</si>
  <si>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</si>
  <si>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</si>
  <si>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</si>
  <si>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</si>
  <si>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</si>
  <si>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</si>
  <si>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</si>
  <si>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</si>
  <si>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</si>
  <si>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</si>
  <si>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</si>
  <si>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</si>
  <si>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</si>
  <si>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</si>
  <si>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</si>
  <si>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</si>
  <si>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</si>
  <si>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</si>
  <si>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</si>
  <si>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</si>
  <si>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</si>
  <si>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</si>
  <si>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</si>
  <si>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</si>
  <si>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</si>
  <si>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</si>
  <si>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</si>
  <si>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</si>
  <si>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</si>
  <si>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</si>
  <si>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</si>
  <si>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</si>
  <si>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</si>
  <si>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</si>
  <si>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</si>
  <si>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</si>
  <si>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</si>
  <si>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</si>
  <si>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</si>
  <si>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</si>
  <si>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</si>
  <si>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</si>
  <si>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</si>
  <si>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</si>
  <si>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</si>
  <si>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</si>
  <si>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</si>
  <si>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</si>
  <si>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</si>
  <si>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</si>
  <si>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</si>
  <si>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</si>
  <si>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</si>
  <si>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</si>
  <si>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</si>
  <si>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</si>
  <si>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</si>
  <si>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</si>
  <si>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</si>
  <si>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</si>
  <si>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</si>
  <si>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</si>
  <si>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</si>
  <si>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</si>
  <si>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</si>
  <si>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</si>
  <si>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</si>
  <si>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</si>
  <si>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</si>
  <si>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</si>
  <si>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</si>
  <si>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</si>
  <si>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</si>
  <si>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</si>
  <si>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</si>
  <si>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</si>
  <si>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</si>
  <si>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</si>
  <si>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</si>
  <si>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</si>
  <si>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</si>
  <si>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</si>
  <si>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</si>
  <si>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</si>
  <si>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</si>
  <si>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</si>
  <si>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</si>
  <si>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</si>
  <si>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</si>
  <si>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</si>
  <si>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</si>
  <si>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</si>
  <si>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</si>
  <si>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</si>
  <si>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</si>
  <si>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</si>
  <si>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</si>
  <si>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</si>
  <si>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</si>
  <si>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</si>
  <si>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</si>
  <si>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</si>
  <si>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</si>
  <si>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</si>
  <si>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</si>
  <si>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</si>
  <si>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</si>
  <si>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</si>
  <si>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</si>
  <si>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</si>
  <si>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</si>
  <si>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</si>
  <si>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</si>
  <si>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</si>
  <si>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</si>
  <si>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</si>
  <si>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</si>
  <si>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</si>
  <si>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</si>
  <si>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</si>
  <si>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</si>
  <si>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</si>
  <si>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</si>
  <si>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</si>
  <si>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</si>
  <si>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</si>
  <si>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</si>
  <si>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</si>
  <si>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</si>
  <si>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</si>
  <si>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</si>
  <si>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</si>
  <si>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</si>
  <si>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</si>
  <si>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</si>
  <si>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</si>
  <si>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</si>
  <si>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</si>
  <si>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</si>
  <si>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</si>
  <si>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</si>
  <si>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</si>
  <si>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</si>
  <si>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</si>
  <si>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</si>
  <si>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</si>
  <si>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</si>
  <si>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</si>
  <si>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</si>
  <si>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</si>
  <si>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</si>
  <si>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</si>
  <si>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</si>
  <si>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</si>
  <si>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</si>
  <si>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</si>
  <si>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</si>
  <si>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</si>
  <si>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</si>
  <si>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</si>
  <si>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</si>
  <si>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</si>
  <si>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</si>
  <si>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</si>
  <si>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</si>
  <si>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</si>
  <si>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</si>
  <si>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</si>
  <si>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</si>
  <si>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</si>
  <si>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</si>
  <si>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</si>
  <si>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</si>
  <si>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</si>
  <si>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</si>
  <si>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</si>
  <si>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</si>
  <si>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</si>
  <si>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</si>
  <si>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</si>
  <si>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</si>
  <si>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</si>
  <si>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</si>
  <si>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</si>
  <si>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</si>
  <si>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</si>
  <si>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</si>
  <si>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</si>
  <si>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</si>
  <si>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</si>
  <si>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</si>
  <si>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</si>
  <si>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</si>
  <si>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</si>
  <si>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</si>
  <si>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</si>
  <si>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</si>
  <si>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</si>
  <si>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</si>
  <si>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</si>
  <si>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</si>
  <si>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</si>
  <si>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</si>
  <si>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</si>
  <si>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</si>
  <si>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</si>
  <si>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</si>
  <si>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</si>
  <si>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</si>
  <si>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</si>
  <si>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</si>
  <si>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</si>
  <si>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</si>
  <si>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</si>
  <si>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</si>
  <si>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</si>
  <si>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</si>
  <si>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</si>
  <si>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</si>
  <si>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</si>
  <si>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</si>
  <si>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</si>
  <si>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</si>
  <si>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</si>
  <si>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</si>
  <si>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</si>
  <si>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</si>
  <si>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</si>
  <si>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</si>
  <si>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</si>
  <si>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</si>
  <si>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</si>
  <si>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</si>
  <si>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</si>
  <si>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</si>
  <si>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</si>
  <si>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</si>
  <si>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</si>
  <si>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</si>
  <si>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</si>
  <si>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</si>
  <si>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</si>
  <si>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</si>
  <si>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</si>
  <si>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</si>
  <si>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</si>
  <si>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</si>
  <si>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</si>
  <si>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</si>
  <si>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</si>
  <si>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</si>
  <si>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</si>
  <si>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</si>
  <si>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</si>
  <si>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</si>
  <si>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</si>
  <si>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</si>
  <si>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</si>
  <si>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</si>
  <si>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</si>
  <si>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</si>
  <si>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</si>
  <si>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</si>
  <si>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</si>
  <si>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</si>
  <si>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</si>
  <si>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</si>
  <si>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</si>
  <si>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</si>
  <si>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</si>
  <si>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</si>
  <si>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</si>
  <si>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</si>
  <si>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</si>
  <si>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</si>
  <si>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</si>
  <si>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</si>
  <si>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</si>
  <si>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</si>
  <si>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</si>
  <si>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</si>
  <si>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</si>
  <si>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</si>
  <si>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</si>
  <si>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</si>
  <si>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</si>
  <si>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</si>
  <si>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</si>
  <si>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</si>
  <si>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</si>
  <si>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</si>
  <si>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</si>
  <si>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</si>
  <si>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</si>
  <si>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</si>
  <si>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</si>
  <si>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</si>
  <si>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</si>
  <si>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</si>
  <si>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</si>
  <si>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</si>
  <si>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</si>
  <si>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</si>
  <si>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</si>
  <si>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</si>
  <si>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</si>
  <si>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</si>
  <si>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</si>
  <si>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</si>
  <si>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</si>
  <si>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</si>
  <si>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</si>
  <si>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</si>
  <si>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</si>
  <si>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</si>
  <si>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</si>
  <si>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</si>
  <si>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</si>
  <si>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</si>
  <si>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</si>
  <si>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</si>
  <si>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</si>
  <si>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</si>
  <si>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</si>
  <si>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</si>
  <si>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</si>
  <si>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</si>
  <si>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</si>
  <si>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</si>
  <si>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</si>
  <si>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</si>
  <si>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</si>
  <si>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</si>
  <si>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</si>
  <si>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</si>
  <si>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</si>
  <si>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</si>
  <si>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</si>
  <si>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</si>
  <si>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</si>
  <si>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</si>
  <si>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</si>
  <si>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</si>
  <si>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</si>
  <si>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</si>
  <si>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</si>
  <si>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</si>
  <si>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</si>
  <si>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</si>
  <si>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</si>
  <si>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</si>
  <si>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</si>
  <si>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</si>
  <si>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</si>
  <si>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</si>
  <si>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</si>
  <si>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</si>
  <si>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</si>
  <si>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</si>
  <si>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</si>
  <si>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</si>
  <si>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</si>
  <si>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</si>
  <si>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</si>
  <si>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</si>
  <si>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</si>
  <si>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</si>
  <si>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</si>
  <si>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</si>
  <si>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</si>
  <si>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</si>
  <si>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</si>
  <si>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</si>
  <si>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</si>
  <si>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</si>
  <si>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</si>
  <si>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</si>
  <si>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</si>
  <si>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</si>
  <si>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</si>
  <si>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</si>
  <si>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</si>
  <si>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</si>
  <si>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</si>
  <si>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</si>
  <si>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</si>
  <si>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</si>
  <si>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</si>
  <si>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</si>
  <si>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</si>
  <si>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</si>
  <si>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</si>
  <si>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</si>
  <si>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</si>
  <si>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</si>
  <si>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</si>
  <si>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</si>
  <si>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</si>
  <si>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</si>
  <si>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</si>
  <si>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</si>
  <si>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ANDALUCIA</t>
  </si>
  <si>
    <t>Provincias</t>
  </si>
  <si>
    <t>CADIZ</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</si>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</sst>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XTeB0imUnsMUKczo/eQ/kUc8exKrL67W0WH6u5lpSdweieWTGa1dgANAOr9r4hJNKFoU4ConsimRJcmqxIuBQ==" saltValue="7+jFueKwV1TZ5Za9G3QXa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ANDALUCIA</v>
      </c>
      <c r="C2" s="375"/>
      <c r="D2" s="375"/>
      <c r="E2" s="375"/>
      <c r="F2" s="375"/>
    </row>
    <row r="3" spans="1:69" ht="19.5">
      <c r="A3" s="390" t="s">
        <v>115</v>
      </c>
      <c r="B3" s="391" t="str">
        <f>Criterios!A10 &amp;"  "&amp;Criterios!B10</f>
        <v>Provincias  CADIZ</v>
      </c>
      <c r="D3" s="375"/>
      <c r="E3" s="375"/>
      <c r="F3" s="375"/>
      <c r="BQ3" s="471"/>
    </row>
    <row r="4" spans="1:69" ht="13.5" thickBot="1">
      <c r="A4" s="375"/>
      <c r="B4" s="391" t="str">
        <f>Criterios!A11 &amp;"  "&amp;Criterios!B11</f>
        <v>Resumenes por Partidos Judiciales  CADIZ</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6</v>
      </c>
      <c r="C9" s="403">
        <f>IF(ISNUMBER(IF(J_V="SI",Datos!I9,Datos!I9+Datos!Y9)),IF(J_V="SI",Datos!I9,Datos!I9+Datos!Y9)," - ")</f>
        <v>11831</v>
      </c>
      <c r="D9" s="404">
        <f>IF(ISNUMBER(C9/Datos!BH9),C9/Datos!BH9," - ")</f>
        <v>1971.8333333333333</v>
      </c>
      <c r="E9" s="403">
        <f>IF(ISNUMBER(IF(J_V="SI",Datos!J9,Datos!J9+Datos!Z9)),IF(J_V="SI",Datos!J9,Datos!J9+Datos!Z9)," - ")</f>
        <v>2164</v>
      </c>
      <c r="F9" s="404">
        <f>IF(ISNUMBER(E9/B9),E9/B9," - ")</f>
        <v>360.66666666666669</v>
      </c>
      <c r="G9" s="403">
        <f>IF(ISNUMBER(IF(J_V="SI",Datos!K9,Datos!K9+Datos!AA9)),IF(J_V="SI",Datos!K9,Datos!K9+Datos!AA9)," - ")</f>
        <v>3263</v>
      </c>
      <c r="H9" s="404">
        <f>IF(ISNUMBER(G9/B9),G9/B9," - ")</f>
        <v>543.83333333333337</v>
      </c>
      <c r="I9" s="403">
        <f>IF(ISNUMBER(IF(J_V="SI",Datos!L9,Datos!L9+Datos!AB9)),IF(J_V="SI",Datos!L9,Datos!L9+Datos!AB9)," - ")</f>
        <v>10732</v>
      </c>
      <c r="J9" s="404">
        <f>IF(ISNUMBER(I9/B9),I9/B9," - ")</f>
        <v>1788.6666666666667</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66</v>
      </c>
      <c r="D10" s="404">
        <f>IF(ISNUMBER(C10/Datos!BH10),C10/Datos!BH10," - ")</f>
        <v>66</v>
      </c>
      <c r="E10" s="403">
        <f>IF(ISNUMBER(Datos!J10),Datos!J10," - ")</f>
        <v>38</v>
      </c>
      <c r="F10" s="404">
        <f>IF(ISNUMBER(E10/B10),E10/B10," - ")</f>
        <v>38</v>
      </c>
      <c r="G10" s="403">
        <f>IF(ISNUMBER(Datos!K10),Datos!K10," - ")</f>
        <v>41</v>
      </c>
      <c r="H10" s="404">
        <f>IF(ISNUMBER(G10/B10),G10/B10," - ")</f>
        <v>41</v>
      </c>
      <c r="I10" s="403">
        <f>IF(ISNUMBER(Datos!L10),Datos!L10," - ")</f>
        <v>63</v>
      </c>
      <c r="J10" s="404">
        <f>IF(ISNUMBER(I10/B10),I10/B10," - ")</f>
        <v>63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0</v>
      </c>
      <c r="C12" s="403" t="str">
        <f>IF(ISNUMBER(IF(J_V="SI",Datos!I12,Datos!I12+Datos!Y12)),IF(J_V="SI",Datos!I12,Datos!I12+Datos!Y12)," - ")</f>
        <v xml:space="preserve"> - </v>
      </c>
      <c r="D12" s="404" t="str">
        <f>IF(ISNUMBER(C12/Datos!BH12),C12/Datos!BH12," - ")</f>
        <v xml:space="preserve"> - </v>
      </c>
      <c r="E12" s="403" t="str">
        <f>IF(ISNUMBER(IF(J_V="SI",Datos!J12,Datos!J12+Datos!Z12)),IF(J_V="SI",Datos!J12,Datos!J12+Datos!Z12)," - ")</f>
        <v xml:space="preserve"> - </v>
      </c>
      <c r="F12" s="404" t="str">
        <f>IF(ISNUMBER(E12/B12),E12/B12," - ")</f>
        <v xml:space="preserve"> - </v>
      </c>
      <c r="G12" s="403" t="str">
        <f>IF(ISNUMBER(IF(J_V="SI",Datos!K12,Datos!K12+Datos!AA12)),IF(J_V="SI",Datos!K12,Datos!K12+Datos!AA12)," - ")</f>
        <v xml:space="preserve"> - </v>
      </c>
      <c r="H12" s="404" t="str">
        <f>IF(ISNUMBER(G12/B12),G12/B12," - ")</f>
        <v xml:space="preserve"> - </v>
      </c>
      <c r="I12" s="403" t="str">
        <f>IF(ISNUMBER(IF(J_V="SI",Datos!L12,Datos!L12+Datos!AB12)),IF(J_V="SI",Datos!L12,Datos!L12+Datos!AB12)," - ")</f>
        <v xml:space="preserve"> - </v>
      </c>
      <c r="J12" s="404" t="str">
        <f>IF(ISNUMBER(I12/B12),I12/B12," - ")</f>
        <v xml:space="preserve"> - </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7</v>
      </c>
      <c r="C13" s="849">
        <f>SUBTOTAL(9,C8:C12)</f>
        <v>11897</v>
      </c>
      <c r="D13" s="850" t="str">
        <f>IF(ISNUMBER(C13/Datos!BI13),C13/Datos!BI13," - ")</f>
        <v xml:space="preserve"> - </v>
      </c>
      <c r="E13" s="849">
        <f>SUBTOTAL(9,E8:E12)</f>
        <v>2202</v>
      </c>
      <c r="F13" s="850">
        <f>IF(ISNUMBER(E13/B13),E13/B13," - ")</f>
        <v>314.57142857142856</v>
      </c>
      <c r="G13" s="849">
        <f>SUBTOTAL(9,G8:G12)</f>
        <v>3304</v>
      </c>
      <c r="H13" s="850">
        <f>IF(ISNUMBER(G13/B13),G13/B13," - ")</f>
        <v>472</v>
      </c>
      <c r="I13" s="849">
        <f>SUBTOTAL(9,I8:I12)</f>
        <v>10795</v>
      </c>
      <c r="J13" s="850">
        <f>IF(ISNUMBER(I13/B13),I13/B13," - ")</f>
        <v>1542.1428571428571</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4</v>
      </c>
      <c r="C15" s="403">
        <f>IF(ISNUMBER(IF(D_I="SI",Datos!I15,Datos!I15+Datos!AC15)),IF(D_I="SI",Datos!I15,Datos!I15+Datos!AC15)," - ")</f>
        <v>1220</v>
      </c>
      <c r="D15" s="404">
        <f>IF(ISNUMBER(C15/Datos!BH15),C15/Datos!BH15," - ")</f>
        <v>305</v>
      </c>
      <c r="E15" s="403">
        <f>IF(ISNUMBER(IF(D_I="SI",Datos!J15,Datos!J15+Datos!AD15)),IF(D_I="SI",Datos!J15,Datos!J15+Datos!AD15)," - ")</f>
        <v>1675</v>
      </c>
      <c r="F15" s="404">
        <f>IF(ISNUMBER(E15/B15),E15/B15," - ")</f>
        <v>418.75</v>
      </c>
      <c r="G15" s="403">
        <f>IF(ISNUMBER(IF(D_I="SI",Datos!K15,Datos!K15+Datos!AE15)),IF(D_I="SI",Datos!K15,Datos!K15+Datos!AE15)," - ")</f>
        <v>1807</v>
      </c>
      <c r="H15" s="404">
        <f>IF(ISNUMBER(G15/B15),G15/B15," - ")</f>
        <v>451.75</v>
      </c>
      <c r="I15" s="403">
        <f>IF(ISNUMBER(IF(D_I="SI",Datos!L15,Datos!L15+Datos!AF15)),IF(D_I="SI",Datos!L15,Datos!L15+Datos!AF15)," - ")</f>
        <v>1094</v>
      </c>
      <c r="J15" s="404">
        <f>IF(ISNUMBER(I15/B15),I15/B15," - ")</f>
        <v>273.5</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0</v>
      </c>
      <c r="C16" s="403" t="str">
        <f>IF(ISNUMBER(IF(D_I="SI",Datos!I16,Datos!I16+Datos!AC16)),IF(D_I="SI",Datos!I16,Datos!I16+Datos!AC16)," - ")</f>
        <v xml:space="preserve"> - </v>
      </c>
      <c r="D16" s="404" t="str">
        <f>IF(ISNUMBER(C16/Datos!BH16),C16/Datos!BH16," - ")</f>
        <v xml:space="preserve"> - </v>
      </c>
      <c r="E16" s="403" t="str">
        <f>IF(ISNUMBER(IF(D_I="SI",Datos!J16,Datos!J16+Datos!AD16)),IF(D_I="SI",Datos!J16,Datos!J16+Datos!AD16)," - ")</f>
        <v xml:space="preserve"> - </v>
      </c>
      <c r="F16" s="404" t="str">
        <f>IF(ISNUMBER(E16/B16),E16/B16," - ")</f>
        <v xml:space="preserve"> - </v>
      </c>
      <c r="G16" s="403" t="str">
        <f>IF(ISNUMBER(IF(D_I="SI",Datos!K16,Datos!K16+Datos!AE16)),IF(D_I="SI",Datos!K16,Datos!K16+Datos!AE16)," - ")</f>
        <v xml:space="preserve"> - </v>
      </c>
      <c r="H16" s="404" t="str">
        <f>IF(ISNUMBER(G16/B16),G16/B16," - ")</f>
        <v xml:space="preserve"> - </v>
      </c>
      <c r="I16" s="403" t="str">
        <f>IF(ISNUMBER(IF(D_I="SI",Datos!L16,Datos!L16+Datos!AF16)),IF(D_I="SI",Datos!L16,Datos!L16+Datos!AF16)," - ")</f>
        <v xml:space="preserve"> - </v>
      </c>
      <c r="J16" s="404" t="str">
        <f>IF(ISNUMBER(I16/B16),I16/B16," - ")</f>
        <v xml:space="preserve"> - </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218</v>
      </c>
      <c r="D17" s="404">
        <f>IF(ISNUMBER(C17/Datos!BH17),C17/Datos!BH17," - ")</f>
        <v>218</v>
      </c>
      <c r="E17" s="403">
        <f>IF(ISNUMBER(IF(D_I="SI",Datos!J17,Datos!J17+Datos!AD17)),IF(D_I="SI",Datos!J17,Datos!J17+Datos!AD17)," - ")</f>
        <v>644</v>
      </c>
      <c r="F17" s="404">
        <f>IF(ISNUMBER(E17/B17),E17/B17," - ")</f>
        <v>644</v>
      </c>
      <c r="G17" s="403">
        <f>IF(ISNUMBER(IF(D_I="SI",Datos!K17,Datos!K17+Datos!AE17)),IF(D_I="SI",Datos!K17,Datos!K17+Datos!AE17)," - ")</f>
        <v>565</v>
      </c>
      <c r="H17" s="404">
        <f>IF(ISNUMBER(G17/B17),G17/B17," - ")</f>
        <v>565</v>
      </c>
      <c r="I17" s="403">
        <f>IF(ISNUMBER(IF(D_I="SI",Datos!L17,Datos!L17+Datos!AF17)),IF(D_I="SI",Datos!L17,Datos!L17+Datos!AF17)," - ")</f>
        <v>203</v>
      </c>
      <c r="J17" s="404">
        <f>IF(ISNUMBER(I17/B17),I17/B17," - ")</f>
        <v>203</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5</v>
      </c>
      <c r="C18" s="849">
        <f>SUBTOTAL(9,C14:C17)</f>
        <v>1438</v>
      </c>
      <c r="D18" s="850" t="str">
        <f>IF(ISNUMBER(C18/Datos!BI18),C18/Datos!BI18," - ")</f>
        <v xml:space="preserve"> - </v>
      </c>
      <c r="E18" s="849">
        <f>SUBTOTAL(9,E14:E17)</f>
        <v>2319</v>
      </c>
      <c r="F18" s="850">
        <f>IF(ISNUMBER(E18/B18),E18/B18," - ")</f>
        <v>463.8</v>
      </c>
      <c r="G18" s="849">
        <f>SUBTOTAL(9,G14:G17)</f>
        <v>2372</v>
      </c>
      <c r="H18" s="850">
        <f>IF(ISNUMBER(G18/B18),G18/B18," - ")</f>
        <v>474.4</v>
      </c>
      <c r="I18" s="849">
        <f>SUBTOTAL(9,I14:I17)</f>
        <v>1297</v>
      </c>
      <c r="J18" s="850">
        <f>IF(ISNUMBER(I18/B18),I18/B18," - ")</f>
        <v>259.39999999999998</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11</v>
      </c>
      <c r="C19" s="794">
        <f>SUBTOTAL(9,C9:C18)</f>
        <v>13335</v>
      </c>
      <c r="D19" s="795" t="str">
        <f>IF(ISNUMBER(C19/Datos!BI19),C19/Datos!BI19," - ")</f>
        <v xml:space="preserve"> - </v>
      </c>
      <c r="E19" s="794">
        <f>SUBTOTAL(9,E9:E18)</f>
        <v>4521</v>
      </c>
      <c r="F19" s="795">
        <f>IF(ISNUMBER(E19/B19),E19/B19," - ")</f>
        <v>411</v>
      </c>
      <c r="G19" s="794">
        <f>SUBTOTAL(9,G9:G18)</f>
        <v>5676</v>
      </c>
      <c r="H19" s="795">
        <f>IF(ISNUMBER(G19/B19),G19/B19," - ")</f>
        <v>516</v>
      </c>
      <c r="I19" s="794">
        <f>SUBTOTAL(9,I9:I18)</f>
        <v>12092</v>
      </c>
      <c r="J19" s="795">
        <f>IF(ISNUMBER(I19/B19),I19/B19," - ")</f>
        <v>1099.2727272727273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sC1fiv1/j/Lef3wqPDshzc6J34/O5DN9JF2agby1gy51eVKbczg1sZlp1ZXNj6G47eizwcCiYYmIJQbahZXjbw==" saltValue="/wNkReKELQMyZUqsFvhSy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ANDALUCIA</v>
      </c>
      <c r="C2" s="375"/>
      <c r="E2" s="375"/>
      <c r="F2" s="375"/>
      <c r="G2" s="375"/>
      <c r="H2" s="375"/>
    </row>
    <row r="3" spans="1:15" ht="39">
      <c r="A3" s="415" t="s">
        <v>218</v>
      </c>
      <c r="B3" s="391" t="str">
        <f>Criterios!A10 &amp;"  "&amp;Criterios!B10</f>
        <v>Provincias  CADIZ</v>
      </c>
      <c r="C3" s="415"/>
      <c r="F3" s="375"/>
      <c r="G3" s="375"/>
      <c r="H3" s="375"/>
    </row>
    <row r="4" spans="1:15" ht="13.5" thickBot="1">
      <c r="A4" s="375"/>
      <c r="B4" s="391" t="str">
        <f>Criterios!A11 &amp;"  "&amp;Criterios!B11</f>
        <v>Resumenes por Partidos Judiciales  CADIZ</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6</v>
      </c>
      <c r="D9" s="403">
        <f>Datos!BK9</f>
        <v>0</v>
      </c>
      <c r="E9" s="403">
        <f>Datos!AQ9</f>
        <v>6</v>
      </c>
      <c r="F9" s="404">
        <f>IF(ISNUMBER(E9/Datos!BH9),E9/Datos!BH9," - ")</f>
        <v>1</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1</v>
      </c>
      <c r="D10" s="403">
        <f>Datos!BK10</f>
        <v>0</v>
      </c>
      <c r="E10" s="403">
        <f>Datos!AQ10</f>
        <v>1</v>
      </c>
      <c r="F10" s="404">
        <f>IF(ISNUMBER(E10/Datos!BH10),E10/Datos!BH10," - ")</f>
        <v>1</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0</v>
      </c>
      <c r="D12" s="403">
        <f>Datos!BK12</f>
        <v>0</v>
      </c>
      <c r="E12" s="403">
        <f>Datos!AQ12</f>
        <v>0</v>
      </c>
      <c r="F12" s="404" t="str">
        <f>IF(ISNUMBER(E12/Datos!BH12),E12/Datos!BH12," - ")</f>
        <v xml:space="preserve"> - </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4</v>
      </c>
      <c r="D15" s="403">
        <f>Datos!BK15</f>
        <v>0</v>
      </c>
      <c r="E15" s="403">
        <f>Datos!AQ15</f>
        <v>4</v>
      </c>
      <c r="F15" s="404">
        <f>IF(ISNUMBER(E15/Datos!BH15),E15/Datos!BH15," - ")</f>
        <v>1</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0</v>
      </c>
      <c r="D16" s="403">
        <f>Datos!BK16</f>
        <v>0</v>
      </c>
      <c r="E16" s="403">
        <f>Datos!AQ16</f>
        <v>0</v>
      </c>
      <c r="F16" s="404" t="str">
        <f>IF(ISNUMBER(E16/Datos!BH16),E16/Datos!BH16," - ")</f>
        <v xml:space="preserve"> - </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1</v>
      </c>
      <c r="D17" s="403">
        <f>Datos!BK17</f>
        <v>0</v>
      </c>
      <c r="E17" s="403">
        <f>Datos!AQ17</f>
        <v>1</v>
      </c>
      <c r="F17" s="404">
        <f>IF(ISNUMBER(E17/Datos!BH17),E17/Datos!BH17," - ")</f>
        <v>1</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zJaLOUZWnGpnUC0o6uAm8F29hugRP43rHMjcNYpCAT8i2ZXMcdI0UtM2CLwJNe0onsn8od6Tie0NNy2tMQBDpQ==" saltValue="Px6j5y5BQ4KcoN+QL5Vk3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ANDALUCIA</v>
      </c>
      <c r="C2" s="391"/>
    </row>
    <row r="3" spans="1:78" ht="19.5">
      <c r="A3" s="425" t="s">
        <v>11</v>
      </c>
      <c r="B3" s="391" t="str">
        <f>Criterios!A10 &amp;"  "&amp;Criterios!B10</f>
        <v>Provincias  CADIZ</v>
      </c>
      <c r="C3" s="391"/>
      <c r="D3" s="425"/>
      <c r="BZ3" s="471"/>
    </row>
    <row r="4" spans="1:78" ht="13.5" thickBot="1">
      <c r="B4" s="391" t="str">
        <f>Criterios!A11 &amp;"  "&amp;Criterios!B11</f>
        <v>Resumenes por Partidos Judiciales  CADIZ</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6</v>
      </c>
      <c r="C9" s="410">
        <f>Datos!AQ9</f>
        <v>6</v>
      </c>
      <c r="D9" s="403">
        <f>IF(ISNUMBER(Datos!M9),Datos!M9," - ")</f>
        <v>1276</v>
      </c>
      <c r="E9" s="404">
        <f t="shared" ref="E9:E13" si="0">IF(ISNUMBER(D9/B9),D9/B9," - ")</f>
        <v>212.66666666666666</v>
      </c>
      <c r="F9" s="403">
        <f>IF(ISNUMBER(Datos!N9),Datos!N9," - ")</f>
        <v>1052</v>
      </c>
      <c r="G9" s="404">
        <f t="shared" ref="G9:G13" si="1">IF(ISNUMBER(F9/B9),F9/B9," - ")</f>
        <v>175.33333333333334</v>
      </c>
      <c r="H9" s="403">
        <f>IF(ISNUMBER(Datos!O9),Datos!O9," - ")</f>
        <v>1153</v>
      </c>
      <c r="I9" s="404">
        <f>IF(ISNUMBER(H9/B9),H9/B9," - ")</f>
        <v>192.16666666666666</v>
      </c>
      <c r="BZ9" s="1186">
        <f>Datos!EZ9</f>
        <v>0</v>
      </c>
    </row>
    <row r="10" spans="1:78">
      <c r="A10" s="402" t="str">
        <f>Datos!A10</f>
        <v>Jdos. Violencia contra la mujer</v>
      </c>
      <c r="B10" s="427">
        <f>Datos!AO10</f>
        <v>1</v>
      </c>
      <c r="C10" s="410">
        <f>Datos!AQ10</f>
        <v>1</v>
      </c>
      <c r="D10" s="403">
        <f>IF(ISNUMBER(Datos!M10),Datos!M10," - ")</f>
        <v>15</v>
      </c>
      <c r="E10" s="404">
        <f>IF(ISNUMBER(D10/B10),D10/B10," - ")</f>
        <v>15</v>
      </c>
      <c r="F10" s="403">
        <f>IF(ISNUMBER(Datos!N10),Datos!N10," - ")</f>
        <v>20</v>
      </c>
      <c r="G10" s="404">
        <f>IF(ISNUMBER(F10/B10),F10/B10," - ")</f>
        <v>20</v>
      </c>
      <c r="H10" s="403">
        <f>IF(ISNUMBER(Datos!O10),Datos!O10," - ")</f>
        <v>9</v>
      </c>
      <c r="I10" s="404">
        <f t="shared" ref="I10:I12" si="2">IF(ISNUMBER(H10/B10),H10/B10," - ")</f>
        <v>9</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0</v>
      </c>
      <c r="C12" s="410">
        <f>Datos!AQ12</f>
        <v>0</v>
      </c>
      <c r="D12" s="403" t="str">
        <f>IF(ISNUMBER(Datos!M12),Datos!M12," - ")</f>
        <v xml:space="preserve"> - </v>
      </c>
      <c r="E12" s="404" t="str">
        <f t="shared" si="0"/>
        <v xml:space="preserve"> - </v>
      </c>
      <c r="F12" s="403" t="str">
        <f>IF(ISNUMBER(Datos!N12),Datos!N12," - ")</f>
        <v xml:space="preserve"> - </v>
      </c>
      <c r="G12" s="404" t="str">
        <f t="shared" si="1"/>
        <v xml:space="preserve"> - </v>
      </c>
      <c r="H12" s="403" t="str">
        <f>IF(ISNUMBER(Datos!O12),Datos!O12," - ")</f>
        <v xml:space="preserve"> - </v>
      </c>
      <c r="I12" s="404" t="str">
        <f t="shared" si="2"/>
        <v xml:space="preserve"> - </v>
      </c>
      <c r="BZ12" s="1186">
        <f>Datos!EZ12</f>
        <v>0</v>
      </c>
    </row>
    <row r="13" spans="1:78" ht="14.25" thickTop="1" thickBot="1">
      <c r="A13" s="848" t="str">
        <f>Datos!A13</f>
        <v>TOTAL</v>
      </c>
      <c r="B13" s="849">
        <f>Datos!AP13</f>
        <v>7</v>
      </c>
      <c r="C13" s="851">
        <f>Datos!AR13</f>
        <v>7</v>
      </c>
      <c r="D13" s="849">
        <f>SUBTOTAL(9,D9:D12)</f>
        <v>1291</v>
      </c>
      <c r="E13" s="850">
        <f t="shared" si="0"/>
        <v>184.42857142857142</v>
      </c>
      <c r="F13" s="849">
        <f>SUBTOTAL(9,F9:F12)</f>
        <v>1072</v>
      </c>
      <c r="G13" s="850">
        <f t="shared" si="1"/>
        <v>153.14285714285714</v>
      </c>
      <c r="H13" s="849">
        <f>SUBTOTAL(9,H9:H12)</f>
        <v>1162</v>
      </c>
      <c r="I13" s="850">
        <f>IF(ISNUMBER(H13/B13),H13/B13," - ")</f>
        <v>166</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4</v>
      </c>
      <c r="C15" s="428">
        <f>Datos!AQ15</f>
        <v>4</v>
      </c>
      <c r="D15" s="403">
        <f>IF(ISNUMBER(Datos!M15),Datos!M15," - ")</f>
        <v>331</v>
      </c>
      <c r="E15" s="404">
        <f t="shared" ref="E15:E18" si="3">IF(ISNUMBER(D15/B15),D15/B15," - ")</f>
        <v>82.75</v>
      </c>
      <c r="F15" s="403">
        <f>IF(ISNUMBER(Datos!N15),Datos!N15," - ")</f>
        <v>1052</v>
      </c>
      <c r="G15" s="404">
        <f t="shared" ref="G15:G18" si="4">IF(ISNUMBER(F15/B15),F15/B15," - ")</f>
        <v>263</v>
      </c>
      <c r="H15" s="403">
        <f>IF(ISNUMBER(Datos!O15),Datos!O15," - ")</f>
        <v>70</v>
      </c>
      <c r="I15" s="404">
        <f t="shared" ref="I15:I17" si="5">IF(ISNUMBER(H15/B15),H15/B15," - ")</f>
        <v>17.5</v>
      </c>
      <c r="BZ15" s="1186">
        <f>Datos!EZ15</f>
        <v>0</v>
      </c>
    </row>
    <row r="16" spans="1:78">
      <c r="A16" s="402" t="str">
        <f>Datos!A16</f>
        <v xml:space="preserve">Jdos. 1ª Instª. e Instr.                        </v>
      </c>
      <c r="B16" s="427">
        <f>Datos!AO16</f>
        <v>0</v>
      </c>
      <c r="C16" s="428">
        <f>Datos!AQ16</f>
        <v>0</v>
      </c>
      <c r="D16" s="403" t="str">
        <f>IF(ISNUMBER(Datos!M16),Datos!M16," - ")</f>
        <v xml:space="preserve"> - </v>
      </c>
      <c r="E16" s="404" t="str">
        <f t="shared" si="3"/>
        <v xml:space="preserve"> - </v>
      </c>
      <c r="F16" s="403" t="str">
        <f>IF(ISNUMBER(Datos!N16),Datos!N16," - ")</f>
        <v xml:space="preserve"> - </v>
      </c>
      <c r="G16" s="404" t="str">
        <f t="shared" si="4"/>
        <v xml:space="preserve"> - </v>
      </c>
      <c r="H16" s="403" t="str">
        <f>IF(ISNUMBER(Datos!O16),Datos!O16," - ")</f>
        <v xml:space="preserve"> - </v>
      </c>
      <c r="I16" s="404" t="str">
        <f t="shared" si="5"/>
        <v xml:space="preserve"> - </v>
      </c>
      <c r="BZ16" s="1186">
        <f>Datos!EZ16</f>
        <v>0</v>
      </c>
    </row>
    <row r="17" spans="1:78" ht="13.5" thickBot="1">
      <c r="A17" s="402" t="str">
        <f>Datos!A17</f>
        <v>Jdos. Violencia contra la mujer</v>
      </c>
      <c r="B17" s="427">
        <f>Datos!AO17</f>
        <v>1</v>
      </c>
      <c r="C17" s="428">
        <f>Datos!AQ17</f>
        <v>1</v>
      </c>
      <c r="D17" s="403">
        <f>IF(ISNUMBER(Datos!M17),Datos!M17," - ")</f>
        <v>39</v>
      </c>
      <c r="E17" s="404">
        <f>IF(ISNUMBER(D17/B17),D17/B17," - ")</f>
        <v>39</v>
      </c>
      <c r="F17" s="403">
        <f>IF(ISNUMBER(Datos!N17),Datos!N17," - ")</f>
        <v>420</v>
      </c>
      <c r="G17" s="404">
        <f>IF(ISNUMBER(F17/B17),F17/B17," - ")</f>
        <v>420</v>
      </c>
      <c r="H17" s="403">
        <f>IF(ISNUMBER(Datos!O17),Datos!O17," - ")</f>
        <v>1</v>
      </c>
      <c r="I17" s="404">
        <f t="shared" si="5"/>
        <v>1</v>
      </c>
      <c r="BZ17" s="1186">
        <f>Datos!EZ17</f>
        <v>0</v>
      </c>
    </row>
    <row r="18" spans="1:78" ht="14.25" thickTop="1" thickBot="1">
      <c r="A18" s="848" t="str">
        <f>Datos!A18</f>
        <v>TOTAL</v>
      </c>
      <c r="B18" s="849">
        <f>Datos!AP18</f>
        <v>5</v>
      </c>
      <c r="C18" s="851">
        <f>Datos!AR18</f>
        <v>5</v>
      </c>
      <c r="D18" s="849">
        <f>SUBTOTAL(9,D15:D17)</f>
        <v>370</v>
      </c>
      <c r="E18" s="850">
        <f t="shared" si="3"/>
        <v>74</v>
      </c>
      <c r="F18" s="849">
        <f>SUBTOTAL(9,F15:F17)</f>
        <v>1472</v>
      </c>
      <c r="G18" s="850">
        <f t="shared" si="4"/>
        <v>294.39999999999998</v>
      </c>
      <c r="H18" s="849">
        <f>SUBTOTAL(9,H15:H17)</f>
        <v>71</v>
      </c>
      <c r="I18" s="850">
        <f>IF(ISNUMBER(H18/B18),H18/B18," - ")</f>
        <v>14.2</v>
      </c>
      <c r="BZ18" s="1186"/>
    </row>
    <row r="19" spans="1:78" ht="14.25" thickTop="1" thickBot="1">
      <c r="A19" s="793" t="str">
        <f>Datos!A19</f>
        <v>TOTAL JURISDICCIONES</v>
      </c>
      <c r="B19" s="794">
        <f>Datos!AP19</f>
        <v>11</v>
      </c>
      <c r="C19" s="794">
        <f>Datos!AR19</f>
        <v>11</v>
      </c>
      <c r="D19" s="794">
        <f>SUBTOTAL(9,D8:D18)</f>
        <v>1661</v>
      </c>
      <c r="E19" s="795">
        <f>IF(ISNUMBER(D19/B19),D19/B19," - ")</f>
        <v>151</v>
      </c>
      <c r="F19" s="794">
        <f>SUBTOTAL(9,F8:F18)</f>
        <v>2544</v>
      </c>
      <c r="G19" s="795">
        <f>IF(ISNUMBER(F19/B19),F19/B19," - ")</f>
        <v>231.27272727272728</v>
      </c>
      <c r="H19" s="794">
        <f>SUBTOTAL(9,H8:H18)</f>
        <v>1233</v>
      </c>
      <c r="I19" s="795">
        <f>IF(ISNUMBER(H19/B19),H19/B19," - ")</f>
        <v>112.09090909090909</v>
      </c>
    </row>
    <row r="22" spans="1:78">
      <c r="A22" s="391" t="str">
        <f>Criterios!A4</f>
        <v>Fecha Informe: 24 sep. 2024</v>
      </c>
    </row>
    <row r="27" spans="1:78">
      <c r="A27" s="414"/>
    </row>
  </sheetData>
  <sheetProtection algorithmName="SHA-512" hashValue="5zO0sg5OQioUoBqlLfwyoXvJCwuVpX/3ek+DG9cPy83wSqxZvtmzVnXYk/u2chWXfKNhoGltLDObjo+KbkGyaw==" saltValue="HneBqLT7xCrfg0XwwPDlhw=="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ANDALUCIA</v>
      </c>
    </row>
    <row r="3" spans="1:4" ht="19.5">
      <c r="A3" s="429" t="s">
        <v>32</v>
      </c>
      <c r="B3" s="391" t="str">
        <f>Criterios!A10 &amp;"  "&amp;Criterios!B10</f>
        <v>Provincias  CADIZ</v>
      </c>
    </row>
    <row r="4" spans="1:4" ht="13.5" thickBot="1">
      <c r="B4" s="391" t="str">
        <f>Criterios!A11 &amp;"  "&amp;Criterios!B11</f>
        <v>Resumenes por Partidos Judiciales  CADIZ</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f>IF(ISNUMBER(Datos!P9),Datos!P9," - ")</f>
        <v>584</v>
      </c>
      <c r="C9" s="434">
        <f>IF(ISNUMBER(Datos!Q9),Datos!Q9," - ")</f>
        <v>356</v>
      </c>
      <c r="D9" s="408">
        <f>IF(ISNUMBER(Datos!R9),Datos!R9," - ")</f>
        <v>8737</v>
      </c>
    </row>
    <row r="10" spans="1:4">
      <c r="A10" s="402" t="str">
        <f>Datos!A10</f>
        <v>Jdos. Violencia contra la mujer</v>
      </c>
      <c r="B10" s="433">
        <f>IF(ISNUMBER(Datos!P10),Datos!P10," - ")</f>
        <v>6</v>
      </c>
      <c r="C10" s="434">
        <f>IF(ISNUMBER(Datos!Q10),Datos!Q10," - ")</f>
        <v>4</v>
      </c>
      <c r="D10" s="408">
        <f>IF(ISNUMBER(Datos!R10),Datos!R10," - ")</f>
        <v>40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t="str">
        <f>IF(ISNUMBER(Datos!P12),Datos!P12," - ")</f>
        <v xml:space="preserve"> - </v>
      </c>
      <c r="C12" s="434" t="str">
        <f>IF(ISNUMBER(Datos!Q12),Datos!Q12," - ")</f>
        <v xml:space="preserve"> - </v>
      </c>
      <c r="D12" s="408" t="str">
        <f>IF(ISNUMBER(Datos!R12),Datos!R12," - ")</f>
        <v xml:space="preserve"> - </v>
      </c>
    </row>
    <row r="13" spans="1:4" ht="14.25" thickTop="1" thickBot="1">
      <c r="A13" s="848" t="str">
        <f>Datos!A13</f>
        <v>TOTAL</v>
      </c>
      <c r="B13" s="849">
        <f>SUBTOTAL(9,B9:B12)</f>
        <v>590</v>
      </c>
      <c r="C13" s="853">
        <f>SUBTOTAL(9,C9:C12)</f>
        <v>360</v>
      </c>
      <c r="D13" s="851">
        <f>SUBTOTAL(9,D9:D12)</f>
        <v>8777</v>
      </c>
    </row>
    <row r="14" spans="1:4" ht="13.5" thickTop="1">
      <c r="A14" s="396" t="str">
        <f>Datos!A14</f>
        <v xml:space="preserve">Jurisdicción Penal ( 2 ):                      </v>
      </c>
      <c r="B14" s="406"/>
      <c r="C14" s="435"/>
      <c r="D14" s="408"/>
    </row>
    <row r="15" spans="1:4">
      <c r="A15" s="402" t="str">
        <f>Datos!A15</f>
        <v xml:space="preserve">Jdos. Instrucción                               </v>
      </c>
      <c r="B15" s="433">
        <f>IF(ISNUMBER(Datos!P15),Datos!P15," - ")</f>
        <v>138</v>
      </c>
      <c r="C15" s="434">
        <f>IF(ISNUMBER(Datos!Q15),Datos!Q15," - ")</f>
        <v>148</v>
      </c>
      <c r="D15" s="408">
        <f>IF(ISNUMBER(Datos!R15),Datos!R15," - ")</f>
        <v>237</v>
      </c>
    </row>
    <row r="16" spans="1:4">
      <c r="A16" s="402" t="str">
        <f>Datos!A16</f>
        <v xml:space="preserve">Jdos. 1ª Instª. e Instr.                        </v>
      </c>
      <c r="B16" s="433" t="str">
        <f>IF(ISNUMBER(Datos!P16),Datos!P16," - ")</f>
        <v xml:space="preserve"> - </v>
      </c>
      <c r="C16" s="434" t="str">
        <f>IF(ISNUMBER(Datos!Q16),Datos!Q16," - ")</f>
        <v xml:space="preserve"> - </v>
      </c>
      <c r="D16" s="408" t="str">
        <f>IF(ISNUMBER(Datos!R16),Datos!R16," - ")</f>
        <v xml:space="preserve"> - </v>
      </c>
    </row>
    <row r="17" spans="1:4" ht="13.5" thickBot="1">
      <c r="A17" s="402" t="str">
        <f>Datos!A17</f>
        <v>Jdos. Violencia contra la mujer</v>
      </c>
      <c r="B17" s="433">
        <f>IF(ISNUMBER(Datos!P17),Datos!P17," - ")</f>
        <v>7</v>
      </c>
      <c r="C17" s="434">
        <f>IF(ISNUMBER(Datos!Q17),Datos!Q17," - ")</f>
        <v>1</v>
      </c>
      <c r="D17" s="408">
        <f>IF(ISNUMBER(Datos!R17),Datos!R17," - ")</f>
        <v>12</v>
      </c>
    </row>
    <row r="18" spans="1:4" ht="14.25" thickTop="1" thickBot="1">
      <c r="A18" s="848" t="str">
        <f>Datos!A18</f>
        <v>TOTAL</v>
      </c>
      <c r="B18" s="849">
        <f>SUBTOTAL(9,B15:B17)</f>
        <v>145</v>
      </c>
      <c r="C18" s="853">
        <f>SUBTOTAL(9,C15:C17)</f>
        <v>149</v>
      </c>
      <c r="D18" s="851">
        <f>SUBTOTAL(9,D15:D17)</f>
        <v>249</v>
      </c>
    </row>
    <row r="19" spans="1:4" ht="16.5" customHeight="1" thickTop="1" thickBot="1">
      <c r="A19" s="793" t="str">
        <f>Datos!A19</f>
        <v>TOTAL JURISDICCIONES</v>
      </c>
      <c r="B19" s="798">
        <f>SUBTOTAL(9,B8:B18)</f>
        <v>735</v>
      </c>
      <c r="C19" s="799">
        <f>SUBTOTAL(9,C8:C18)</f>
        <v>509</v>
      </c>
      <c r="D19" s="800">
        <f>SUBTOTAL(9,D8:D18)</f>
        <v>9026</v>
      </c>
    </row>
    <row r="20" spans="1:4" ht="7.5" customHeight="1"/>
    <row r="21" spans="1:4" ht="6" customHeight="1"/>
    <row r="22" spans="1:4">
      <c r="A22" s="391" t="str">
        <f>Criterios!A4</f>
        <v>Fecha Informe: 24 sep. 2024</v>
      </c>
    </row>
    <row r="27" spans="1:4">
      <c r="A27" s="414"/>
    </row>
  </sheetData>
  <sheetProtection algorithmName="SHA-512" hashValue="q+eJ5QMm2z1TQdjH9rWSMUNNa+zTGljvX4iF0v0dO8ISLdvvOObJPLRV1qbCrqK7iizoDklydBzvM5iXemkolw==" saltValue="zaBKJOqBWiaDePBscaPkT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ANDALUCIA</v>
      </c>
    </row>
    <row r="3" spans="1:11" ht="18.75" customHeight="1">
      <c r="A3" s="429" t="s">
        <v>118</v>
      </c>
      <c r="B3" s="391" t="str">
        <f>Criterios!A10 &amp;"  "&amp;Criterios!B10</f>
        <v>Provincias  CADIZ</v>
      </c>
    </row>
    <row r="4" spans="1:11" ht="10.5" customHeight="1" thickBot="1">
      <c r="B4" s="391" t="str">
        <f>Criterios!A11 &amp;"  "&amp;Criterios!B11</f>
        <v>Resumenes por Partidos Judiciales  CADIZ</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f>IF(ISNUMBER(
   IF(J_V="SI",(Datos!I9-Datos!S9)/Datos!S9,(Datos!I9+Datos!Y9-(Datos!S9+Datos!AG9))/(Datos!S9+Datos!AG9))
     ),IF(J_V="SI",(Datos!I9-Datos!S9)/Datos!S9,(Datos!I9+Datos!Y9-(Datos!S9+Datos!AG9))/(Datos!S9+Datos!AG9))," - ")</f>
        <v>6.9420591159721601E-2</v>
      </c>
      <c r="C9" s="456">
        <f>IF(ISNUMBER(
   IF(J_V="SI",(Datos!J9-Datos!T9)/Datos!T9,(Datos!J9+Datos!Z9-(Datos!T9+Datos!AH9))/(Datos!T9+Datos!AH9))
     ),IF(J_V="SI",(Datos!J9-Datos!T9)/Datos!T9,(Datos!J9+Datos!Z9-(Datos!T9+Datos!AH9))/(Datos!T9+Datos!AH9))," - ")</f>
        <v>2.8517110266159697E-2</v>
      </c>
      <c r="D9" s="456">
        <f>IF(ISNUMBER(
   IF(J_V="SI",(Datos!K9-Datos!U9)/Datos!U9,(Datos!K9+Datos!AA9-(Datos!U9+Datos!AI9))/(Datos!U9+Datos!AI9))
     ),IF(J_V="SI",(Datos!K9-Datos!U9)/Datos!U9,(Datos!K9+Datos!AA9-(Datos!U9+Datos!AI9))/(Datos!U9+Datos!AI9))," - ")</f>
        <v>0.64964610717896865</v>
      </c>
      <c r="E9" s="456">
        <f>IF(ISNUMBER(
   IF(J_V="SI",(Datos!L9-Datos!V9)/Datos!V9,(Datos!L9+Datos!AB9-(Datos!V9+Datos!AJ9))/(Datos!V9+Datos!AJ9))
     ),IF(J_V="SI",(Datos!L9-Datos!V9)/Datos!V9,(Datos!L9+Datos!AB9-(Datos!V9+Datos!AJ9))/(Datos!V9+Datos!AJ9))," - ")</f>
        <v>-0.12755060564181775</v>
      </c>
      <c r="F9" s="456">
        <f>IF(ISNUMBER((Datos!M9-Datos!W9)/Datos!W9),(Datos!M9-Datos!W9)/Datos!W9," - ")</f>
        <v>0.38545059717698155</v>
      </c>
      <c r="G9" s="457">
        <f>IF(ISNUMBER((Datos!N9-Datos!X9)/Datos!X9),(Datos!N9-Datos!X9)/Datos!X9," - ")</f>
        <v>1.1646090534979423</v>
      </c>
      <c r="H9" s="455">
        <f>IF(ISNUMBER(((NºAsuntos!G9/NºAsuntos!E9)-Datos!BD9)/Datos!BD9),((NºAsuntos!G9/NºAsuntos!E9)-Datos!BD9)/Datos!BD9," - ")</f>
        <v>0.60390730568602136</v>
      </c>
      <c r="I9" s="456">
        <f>IF(ISNUMBER(((NºAsuntos!I9/NºAsuntos!G9)-Datos!BE9)/Datos!BE9),((NºAsuntos!I9/NºAsuntos!G9)-Datos!BE9)/Datos!BE9," - ")</f>
        <v>-0.47112935885979629</v>
      </c>
      <c r="J9" s="461">
        <f>IF(ISNUMBER((('Resol  Asuntos'!D9/NºAsuntos!G9)-Datos!BF9)/Datos!BF9),(('Resol  Asuntos'!D9/NºAsuntos!G9)-Datos!BF9)/Datos!BF9," - ")</f>
        <v>0.59156220953476379</v>
      </c>
      <c r="K9" s="462">
        <f>IF(ISNUMBER((((NºAsuntos!C9+NºAsuntos!E9)/NºAsuntos!G9)-Datos!BG9)/Datos!BG9),(((NºAsuntos!C9+NºAsuntos!E9)/NºAsuntos!G9)-Datos!BG9)/Datos!BG9," - ")</f>
        <v>-0.35568939343315525</v>
      </c>
    </row>
    <row r="10" spans="1:11">
      <c r="A10" s="402" t="str">
        <f>Datos!A10</f>
        <v>Jdos. Violencia contra la mujer</v>
      </c>
      <c r="B10" s="455">
        <f>IF(ISNUMBER((Datos!I10-Datos!S10)/Datos!S10),(Datos!I10-Datos!S10)/Datos!S10," - ")</f>
        <v>0.26923076923076922</v>
      </c>
      <c r="C10" s="456">
        <f>IF(ISNUMBER((Datos!J10-Datos!T10)/Datos!T10),(Datos!J10-Datos!T10)/Datos!T10," - ")</f>
        <v>0.40740740740740738</v>
      </c>
      <c r="D10" s="456">
        <f>IF(ISNUMBER((Datos!K10-Datos!U10)/Datos!U10),(Datos!K10-Datos!U10)/Datos!U10," - ")</f>
        <v>0.51851851851851849</v>
      </c>
      <c r="E10" s="456">
        <f>IF(ISNUMBER((Datos!L10-Datos!V10)/Datos!V10),(Datos!L10-Datos!V10)/Datos!V10," - ")</f>
        <v>0.21153846153846154</v>
      </c>
      <c r="F10" s="456">
        <f>IF(ISNUMBER((Datos!M10-Datos!W10)/Datos!W10),(Datos!M10-Datos!W10)/Datos!W10," - ")</f>
        <v>1.1428571428571428</v>
      </c>
      <c r="G10" s="457">
        <f>IF(ISNUMBER((Datos!N10-Datos!X10)/Datos!X10),(Datos!N10-Datos!X10)/Datos!X10," - ")</f>
        <v>3</v>
      </c>
      <c r="H10" s="455">
        <f>IF(ISNUMBER(((NºAsuntos!G10/NºAsuntos!E10)-Datos!BD10)/Datos!BD10),((NºAsuntos!G10/NºAsuntos!E10)-Datos!BD10)/Datos!BD10," - ")</f>
        <v>7.8947368421052655E-2</v>
      </c>
      <c r="I10" s="456">
        <f>IF(ISNUMBER(((NºAsuntos!I10/NºAsuntos!G10)-Datos!BE10)/Datos!BE10),((NºAsuntos!I10/NºAsuntos!G10)-Datos!BE10)/Datos!BE10," - ")</f>
        <v>-0.20215759849906184</v>
      </c>
      <c r="J10" s="461">
        <f>IF(ISNUMBER((('Resol  Asuntos'!D10/NºAsuntos!G10)-Datos!BF10)/Datos!BF10),(('Resol  Asuntos'!D10/NºAsuntos!G10)-Datos!BF10)/Datos!BF10," - ")</f>
        <v>0.41114982578397219</v>
      </c>
      <c r="K10" s="462">
        <f>IF(ISNUMBER((((NºAsuntos!C10+NºAsuntos!E10)/NºAsuntos!G10)-Datos!BG10)/Datos!BG10),(((NºAsuntos!C10+NºAsuntos!E10)/NºAsuntos!G10)-Datos!BG10)/Datos!BG10," - ")</f>
        <v>-0.13306576103735723</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t="str">
        <f>IF(ISNUMBER(
   IF(J_V="SI",(Datos!I12-Datos!S12)/Datos!S12,(Datos!I12+Datos!Y12-(Datos!S12+Datos!AG12))/(Datos!S12+Datos!AG12))
     ),IF(J_V="SI",(Datos!I12-Datos!S12)/Datos!S12,(Datos!I12+Datos!Y12-(Datos!S12+Datos!AG12))/(Datos!S12+Datos!AG12))," - ")</f>
        <v xml:space="preserve"> - </v>
      </c>
      <c r="C12" s="456" t="str">
        <f>IF(ISNUMBER(
   IF(J_V="SI",(Datos!J12-Datos!T12)/Datos!T12,(Datos!J12+Datos!Z12-(Datos!T12+Datos!AH12))/(Datos!T12+Datos!AH12))
     ),IF(J_V="SI",(Datos!J12-Datos!T12)/Datos!T12,(Datos!J12+Datos!Z12-(Datos!T12+Datos!AH12))/(Datos!T12+Datos!AH12))," - ")</f>
        <v xml:space="preserve"> - </v>
      </c>
      <c r="D12" s="456" t="str">
        <f>IF(ISNUMBER(
   IF(J_V="SI",(Datos!K12-Datos!U12)/Datos!U12,(Datos!K12+Datos!AA12-(Datos!U12+Datos!AI12))/(Datos!U12+Datos!AI12))
     ),IF(J_V="SI",(Datos!K12-Datos!U12)/Datos!U12,(Datos!K12+Datos!AA12-(Datos!U12+Datos!AI12))/(Datos!U12+Datos!AI12))," - ")</f>
        <v xml:space="preserve"> - </v>
      </c>
      <c r="E12" s="456" t="str">
        <f>IF(ISNUMBER(
   IF(J_V="SI",(Datos!L12-Datos!V12)/Datos!V12,(Datos!L12+Datos!AB12-(Datos!V12+Datos!AJ12))/(Datos!V12+Datos!AJ12))
     ),IF(J_V="SI",(Datos!L12-Datos!V12)/Datos!V12,(Datos!L12+Datos!AB12-(Datos!V12+Datos!AJ12))/(Datos!V12+Datos!AJ12))," - ")</f>
        <v xml:space="preserve"> - </v>
      </c>
      <c r="F12" s="456" t="str">
        <f>IF(ISNUMBER((Datos!M12-Datos!W12)/Datos!W12),(Datos!M12-Datos!W12)/Datos!W12," - ")</f>
        <v xml:space="preserve"> - </v>
      </c>
      <c r="G12" s="457" t="str">
        <f>IF(ISNUMBER((Datos!N12-Datos!X12)/Datos!X12),(Datos!N12-Datos!X12)/Datos!X12," - ")</f>
        <v xml:space="preserve"> - </v>
      </c>
      <c r="H12" s="455" t="str">
        <f>IF(ISNUMBER(((NºAsuntos!G12/NºAsuntos!E12)-Datos!BD12)/Datos!BD12),((NºAsuntos!G12/NºAsuntos!E12)-Datos!BD12)/Datos!BD12," - ")</f>
        <v xml:space="preserve"> - </v>
      </c>
      <c r="I12" s="456" t="str">
        <f>IF(ISNUMBER(((NºAsuntos!I12/NºAsuntos!G12)-Datos!BE12)/Datos!BE12),((NºAsuntos!I12/NºAsuntos!G12)-Datos!BE12)/Datos!BE12," - ")</f>
        <v xml:space="preserve"> - </v>
      </c>
      <c r="J12" s="461" t="str">
        <f>IF(ISNUMBER((('Resol  Asuntos'!D12/NºAsuntos!G12)-Datos!BF12)/Datos!BF12),(('Resol  Asuntos'!D12/NºAsuntos!G12)-Datos!BF12)/Datos!BF12," - ")</f>
        <v xml:space="preserve"> - </v>
      </c>
      <c r="K12" s="462" t="str">
        <f>IF(ISNUMBER((((NºAsuntos!C12+NºAsuntos!E12)/NºAsuntos!G12)-Datos!BG12)/Datos!BG12),(((NºAsuntos!C12+NºAsuntos!E12)/NºAsuntos!G12)-Datos!BG12)/Datos!BG12," - ")</f>
        <v xml:space="preserve"> - </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7.0355375618533514E-2</v>
      </c>
      <c r="C13" s="855">
        <f>IF(ISNUMBER(
   IF(J_V="SI",(Datos!J13-Datos!T13)/Datos!T13,(Datos!J13+Datos!Z13-(Datos!T13+Datos!AH13))/(Datos!T13+Datos!AH13))
     ),IF(J_V="SI",(Datos!J13-Datos!T13)/Datos!T13,(Datos!J13+Datos!Z13-(Datos!T13+Datos!AH13))/(Datos!T13+Datos!AH13))," - ")</f>
        <v>3.3317691224777103E-2</v>
      </c>
      <c r="D13" s="855">
        <f>IF(ISNUMBER(
   IF(J_V="SI",(Datos!K13-Datos!U13)/Datos!U13,(Datos!K13+Datos!AA13-(Datos!U13+Datos!AI13))/(Datos!U13+Datos!AI13))
     ),IF(J_V="SI",(Datos!K13-Datos!U13)/Datos!U13,(Datos!K13+Datos!AA13-(Datos!U13+Datos!AI13))/(Datos!U13+Datos!AI13))," - ")</f>
        <v>0.6478802992518703</v>
      </c>
      <c r="E13" s="855">
        <f>IF(ISNUMBER(
   IF(J_V="SI",(Datos!L13-Datos!V13)/Datos!V13,(Datos!L13+Datos!AB13-(Datos!V13+Datos!AJ13))/(Datos!V13+Datos!AJ13))
     ),IF(J_V="SI",(Datos!L13-Datos!V13)/Datos!V13,(Datos!L13+Datos!AB13-(Datos!V13+Datos!AJ13))/(Datos!V13+Datos!AJ13))," - ")</f>
        <v>-0.1261232089371003</v>
      </c>
      <c r="F13" s="856">
        <f>IF(ISNUMBER((Datos!M13-Datos!W13)/Datos!W13),(Datos!M13-Datos!W13)/Datos!W13," - ")</f>
        <v>0.39116379310344829</v>
      </c>
      <c r="G13" s="857">
        <f>IF(ISNUMBER((Datos!N13-Datos!X13)/Datos!X13),(Datos!N13-Datos!X13)/Datos!X13," - ")</f>
        <v>1.1832993890020367</v>
      </c>
      <c r="H13" s="857">
        <f>IF(ISNUMBER(((NºAsuntos!G13/NºAsuntos!E13)-Datos!BD13)/Datos!BD13),((NºAsuntos!G13/NºAsuntos!E13)-Datos!BD13)/Datos!BD13," - ")</f>
        <v>0.59474701076554748</v>
      </c>
      <c r="I13" s="857">
        <f>IF(ISNUMBER(((NºAsuntos!I13/NºAsuntos!G13)-Datos!BE13)/Datos!BE13),((NºAsuntos!I13/NºAsuntos!G13)-Datos!BE13)/Datos!BE13," - ")</f>
        <v>-0.46969643883743528</v>
      </c>
      <c r="J13" s="857">
        <f>IF(ISNUMBER((('Resol  Asuntos'!D13/NºAsuntos!G13)-Datos!BF13)/Datos!BF13),(('Resol  Asuntos'!D13/NºAsuntos!G13)-Datos!BF13)/Datos!BF13," - ")</f>
        <v>0.58910890481265565</v>
      </c>
      <c r="K13" s="857">
        <f>IF(ISNUMBER((((NºAsuntos!C13+NºAsuntos!E13)/NºAsuntos!G13)-Datos!BG13)/Datos!BG13),(((NºAsuntos!C13+NºAsuntos!E13)/NºAsuntos!G13)-Datos!BG13)/Datos!BG13," - ")</f>
        <v>-0.35408124029585064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f>IF(ISNUMBER(
   IF(D_I="SI",(Datos!I15-Datos!S15)/Datos!S15,(Datos!I15+Datos!AC15-(Datos!S15+Datos!AK15))/(Datos!S15+Datos!AK15))
     ),IF(D_I="SI",(Datos!I15-Datos!S15)/Datos!S15,(Datos!I15+Datos!AC15-(Datos!S15+Datos!AK15))/(Datos!S15+Datos!AK15))," - ")</f>
        <v>0.37387387387387389</v>
      </c>
      <c r="C15" s="456">
        <f>IF(ISNUMBER(
   IF(D_I="SI",(Datos!J15-Datos!T15)/Datos!T15,(Datos!J15+Datos!AD15-(Datos!T15+Datos!AL15))/(Datos!T15+Datos!AL15))
     ),IF(D_I="SI",(Datos!J15-Datos!T15)/Datos!T15,(Datos!J15+Datos!AD15-(Datos!T15+Datos!AL15))/(Datos!T15+Datos!AL15))," - ")</f>
        <v>0.48361381753764393</v>
      </c>
      <c r="D15" s="456">
        <f>IF(ISNUMBER(
   IF(D_I="SI",(Datos!K15-Datos!U15)/Datos!U15,(Datos!K15+Datos!AE15-(Datos!U15+Datos!AM15))/(Datos!U15+Datos!AM15))
     ),IF(D_I="SI",(Datos!K15-Datos!U15)/Datos!U15,(Datos!K15+Datos!AE15-(Datos!U15+Datos!AM15))/(Datos!U15+Datos!AM15))," - ")</f>
        <v>0.74589371980676333</v>
      </c>
      <c r="E15" s="456">
        <f>IF(ISNUMBER(
   IF(D_I="SI",(Datos!L15-Datos!V15)/Datos!V15,(Datos!L15+Datos!AF15-(Datos!V15+Datos!AN15))/(Datos!V15+Datos!AN15))
     ),IF(D_I="SI",(Datos!L15-Datos!V15)/Datos!V15,(Datos!L15+Datos!AF15-(Datos!V15+Datos!AN15))/(Datos!V15+Datos!AN15))," - ")</f>
        <v>0.10953346855983773</v>
      </c>
      <c r="F15" s="456">
        <f>IF(ISNUMBER((Datos!M15-Datos!W15)/Datos!W15),(Datos!M15-Datos!W15)/Datos!W15," - ")</f>
        <v>1.0817610062893082</v>
      </c>
      <c r="G15" s="457">
        <f>IF(ISNUMBER((Datos!N15-Datos!X15)/Datos!X15),(Datos!N15-Datos!X15)/Datos!X15," - ")</f>
        <v>0.67249602543720188</v>
      </c>
      <c r="H15" s="455">
        <f>IF(ISNUMBER(((NºAsuntos!G15/NºAsuntos!E15)-Datos!BD15)/Datos!BD15),((NºAsuntos!G15/NºAsuntos!E15)-Datos!BD15)/Datos!BD15," - ")</f>
        <v>0.17678448338020056</v>
      </c>
      <c r="I15" s="456">
        <f>IF(ISNUMBER(((NºAsuntos!I15/NºAsuntos!G15)-Datos!BE15)/Datos!BE15),((NºAsuntos!I15/NºAsuntos!G15)-Datos!BE15)/Datos!BE15," - ")</f>
        <v>-0.3644896845824947</v>
      </c>
      <c r="J15" s="461">
        <f>IF(ISNUMBER((('Resol  Asuntos'!D15/NºAsuntos!G15)-Datos!BF15)/Datos!BF15),(('Resol  Asuntos'!D15/NºAsuntos!G15)-Datos!BF15)/Datos!BF15," - ")</f>
        <v>0.19237556253980839</v>
      </c>
      <c r="K15" s="462">
        <f>IF(ISNUMBER((((NºAsuntos!C15+NºAsuntos!E15)/NºAsuntos!G15)-Datos!BG15)/Datos!BG15),(((NºAsuntos!C15+NºAsuntos!E15)/NºAsuntos!G15)-Datos!BG15)/Datos!BG15," - ")</f>
        <v>-0.17789958567450601</v>
      </c>
    </row>
    <row r="16" spans="1:11">
      <c r="A16" s="402" t="str">
        <f>Datos!A16</f>
        <v xml:space="preserve">Jdos. 1ª Instª. e Instr.                        </v>
      </c>
      <c r="B16" s="455" t="str">
        <f>IF(ISNUMBER(
   IF(D_I="SI",(Datos!I16-Datos!S16)/Datos!S16,(Datos!I16+Datos!AC16-(Datos!S16+Datos!AK16))/(Datos!S16+Datos!AK16))
     ),IF(D_I="SI",(Datos!I16-Datos!S16)/Datos!S16,(Datos!I16+Datos!AC16-(Datos!S16+Datos!AK16))/(Datos!S16+Datos!AK16))," - ")</f>
        <v xml:space="preserve"> - </v>
      </c>
      <c r="C16" s="456" t="str">
        <f>IF(ISNUMBER(
   IF(D_I="SI",(Datos!J16-Datos!T16)/Datos!T16,(Datos!J16+Datos!AD16-(Datos!T16+Datos!AL16))/(Datos!T16+Datos!AL16))
     ),IF(D_I="SI",(Datos!J16-Datos!T16)/Datos!T16,(Datos!J16+Datos!AD16-(Datos!T16+Datos!AL16))/(Datos!T16+Datos!AL16))," - ")</f>
        <v xml:space="preserve"> - </v>
      </c>
      <c r="D16" s="456" t="str">
        <f>IF(ISNUMBER(
   IF(D_I="SI",(Datos!K16-Datos!U16)/Datos!U16,(Datos!K16+Datos!AE16-(Datos!U16+Datos!AM16))/(Datos!U16+Datos!AM16))
     ),IF(D_I="SI",(Datos!K16-Datos!U16)/Datos!U16,(Datos!K16+Datos!AE16-(Datos!U16+Datos!AM16))/(Datos!U16+Datos!AM16))," - ")</f>
        <v xml:space="preserve"> - </v>
      </c>
      <c r="E16" s="456" t="str">
        <f>IF(ISNUMBER(
   IF(D_I="SI",(Datos!L16-Datos!V16)/Datos!V16,(Datos!L16+Datos!AF16-(Datos!V16+Datos!AN16))/(Datos!V16+Datos!AN16))
     ),IF(D_I="SI",(Datos!L16-Datos!V16)/Datos!V16,(Datos!L16+Datos!AF16-(Datos!V16+Datos!AN16))/(Datos!V16+Datos!AN16))," - ")</f>
        <v xml:space="preserve"> - </v>
      </c>
      <c r="F16" s="456" t="str">
        <f>IF(ISNUMBER((Datos!M16-Datos!W16)/Datos!W16),(Datos!M16-Datos!W16)/Datos!W16," - ")</f>
        <v xml:space="preserve"> - </v>
      </c>
      <c r="G16" s="457" t="str">
        <f>IF(ISNUMBER((Datos!N16-Datos!X16)/Datos!X16),(Datos!N16-Datos!X16)/Datos!X16," - ")</f>
        <v xml:space="preserve"> - </v>
      </c>
      <c r="H16" s="455" t="str">
        <f>IF(ISNUMBER(((NºAsuntos!G16/NºAsuntos!E16)-Datos!BD16)/Datos!BD16),((NºAsuntos!G16/NºAsuntos!E16)-Datos!BD16)/Datos!BD16," - ")</f>
        <v xml:space="preserve"> - </v>
      </c>
      <c r="I16" s="456" t="str">
        <f>IF(ISNUMBER(((NºAsuntos!I16/NºAsuntos!G16)-Datos!BE16)/Datos!BE16),((NºAsuntos!I16/NºAsuntos!G16)-Datos!BE16)/Datos!BE16," - ")</f>
        <v xml:space="preserve"> - </v>
      </c>
      <c r="J16" s="461" t="str">
        <f>IF(ISNUMBER((('Resol  Asuntos'!D16/NºAsuntos!G16)-Datos!BF16)/Datos!BF16),(('Resol  Asuntos'!D16/NºAsuntos!G16)-Datos!BF16)/Datos!BF16," - ")</f>
        <v xml:space="preserve"> - </v>
      </c>
      <c r="K16" s="462" t="str">
        <f>IF(ISNUMBER((((NºAsuntos!C16+NºAsuntos!E16)/NºAsuntos!G16)-Datos!BG16)/Datos!BG16),(((NºAsuntos!C16+NºAsuntos!E16)/NºAsuntos!G16)-Datos!BG16)/Datos!BG16," - ")</f>
        <v xml:space="preserve"> - </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1.3953488372093023E-2</v>
      </c>
      <c r="C17" s="456">
        <f>IF(ISNUMBER(
   IF(D_I="SI",(Datos!J17-Datos!T17)/Datos!T17,(Datos!J17+Datos!AD17-(Datos!T17+Datos!AL17))/(Datos!T17+Datos!AL17))
     ),IF(D_I="SI",(Datos!J17-Datos!T17)/Datos!T17,(Datos!J17+Datos!AD17-(Datos!T17+Datos!AL17))/(Datos!T17+Datos!AL17))," - ")</f>
        <v>3</v>
      </c>
      <c r="D17" s="456">
        <f>IF(ISNUMBER(
   IF(D_I="SI",(Datos!K17-Datos!U17)/Datos!U17,(Datos!K17+Datos!AE17-(Datos!U17+Datos!AM17))/(Datos!U17+Datos!AM17))
     ),IF(D_I="SI",(Datos!K17-Datos!U17)/Datos!U17,(Datos!K17+Datos!AE17-(Datos!U17+Datos!AM17))/(Datos!U17+Datos!AM17))," - ")</f>
        <v>2.3040935672514622</v>
      </c>
      <c r="E17" s="456">
        <f>IF(ISNUMBER(
   IF(D_I="SI",(Datos!L17-Datos!V17)/Datos!V17,(Datos!L17+Datos!AF17-(Datos!V17+Datos!AN17))/(Datos!V17+Datos!AN17))
     ),IF(D_I="SI",(Datos!L17-Datos!V17)/Datos!V17,(Datos!L17+Datos!AF17-(Datos!V17+Datos!AN17))/(Datos!V17+Datos!AN17))," - ")</f>
        <v>-9.7560975609756097E-3</v>
      </c>
      <c r="F17" s="456">
        <f>IF(ISNUMBER((Datos!M17-Datos!W17)/Datos!W17),(Datos!M17-Datos!W17)/Datos!W17," - ")</f>
        <v>1.2941176470588236</v>
      </c>
      <c r="G17" s="457">
        <f>IF(ISNUMBER((Datos!N17-Datos!X17)/Datos!X17),(Datos!N17-Datos!X17)/Datos!X17," - ")</f>
        <v>3.7191011235955056</v>
      </c>
      <c r="H17" s="455">
        <f>IF(ISNUMBER(((NºAsuntos!G17/NºAsuntos!E17)-Datos!BD17)/Datos!BD17),((NºAsuntos!G17/NºAsuntos!E17)-Datos!BD17)/Datos!BD17," - ")</f>
        <v>-0.17397660818713445</v>
      </c>
      <c r="I17" s="456">
        <f>IF(ISNUMBER(((NºAsuntos!I17/NºAsuntos!G17)-Datos!BE17)/Datos!BE17),((NºAsuntos!I17/NºAsuntos!G17)-Datos!BE17)/Datos!BE17," - ")</f>
        <v>-0.7002978631556227</v>
      </c>
      <c r="J17" s="461">
        <f>IF(ISNUMBER((('Resol  Asuntos'!D17/NºAsuntos!G17)-Datos!BF17)/Datos!BF17),(('Resol  Asuntos'!D17/NºAsuntos!G17)-Datos!BF17)/Datos!BF17," - ")</f>
        <v>-0.30567412805830296</v>
      </c>
      <c r="K17" s="462">
        <f>IF(ISNUMBER((((NºAsuntos!C17+NºAsuntos!E17)/NºAsuntos!G17)-Datos!BG17)/Datos!BG17),(((NºAsuntos!C17+NºAsuntos!E17)/NºAsuntos!G17)-Datos!BG17)/Datos!BG17," - ")</f>
        <v>-0.30614761815100727</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0.30371713508612874</v>
      </c>
      <c r="C18" s="855">
        <f>IF(ISNUMBER(
   IF(Criterios!B14="SI",(Datos!J18-Datos!T18)/Datos!T18,(Datos!J18+Datos!AD18-(Datos!T18+Datos!AL18))/(Datos!T18+Datos!AL18))
     ),IF(Criterios!B14="SI",(Datos!J18-Datos!T18)/Datos!T18,(Datos!J18+Datos!AD18-(Datos!T18+Datos!AL18))/(Datos!T18+Datos!AL18))," - ")</f>
        <v>0.79767441860465116</v>
      </c>
      <c r="D18" s="855">
        <f>IF(ISNUMBER(
   IF(Criterios!B14="SI",(Datos!K18-Datos!U18)/Datos!U18,(Datos!K18+Datos!AE18-(Datos!U18+Datos!AM18))/(Datos!U18+Datos!AM18))
     ),IF(Criterios!B14="SI",(Datos!K18-Datos!U18)/Datos!U18,(Datos!K18+Datos!AE18-(Datos!U18+Datos!AM18))/(Datos!U18+Datos!AM18))," - ")</f>
        <v>0.96683250414593702</v>
      </c>
      <c r="E18" s="855">
        <f>IF(ISNUMBER(
   IF(Criterios!B14="SI",(Datos!L18-Datos!V18)/Datos!V18,(Datos!L18+Datos!AF18-(Datos!V18+Datos!AN18))/(Datos!V18+Datos!AN18))
     ),IF(Criterios!B14="SI",(Datos!L18-Datos!V18)/Datos!V18,(Datos!L18+Datos!AF18-(Datos!V18+Datos!AN18))/(Datos!V18+Datos!AN18))," - ")</f>
        <v>8.9000839630562559E-2</v>
      </c>
      <c r="F18" s="856">
        <f>IF(ISNUMBER((Datos!M18-Datos!W18)/Datos!W18),(Datos!M18-Datos!W18)/Datos!W18," - ")</f>
        <v>1.1022727272727273</v>
      </c>
      <c r="G18" s="857">
        <f>IF(ISNUMBER((Datos!N18-Datos!X18)/Datos!X18),(Datos!N18-Datos!X18)/Datos!X18," - ")</f>
        <v>1.0501392757660166</v>
      </c>
      <c r="H18" s="857">
        <f>IF(ISNUMBER(((NºAsuntos!G18/NºAsuntos!E18)-Datos!BD18)/Datos!BD18),((NºAsuntos!G18/NºAsuntos!E18)-Datos!BD18)/Datos!BD18," - ")</f>
        <v>9.4098288205372485E-2</v>
      </c>
      <c r="I18" s="857">
        <f>IF(ISNUMBER(((NºAsuntos!I18/NºAsuntos!G18)-Datos!BE18)/Datos!BE18),((NºAsuntos!I18/NºAsuntos!G18)-Datos!BE18)/Datos!BE18," - ")</f>
        <v>-0.44631744831599557</v>
      </c>
      <c r="J18" s="857">
        <f>IF(ISNUMBER((('Resol  Asuntos'!D18/NºAsuntos!G18)-Datos!BF18)/Datos!BF18),(('Resol  Asuntos'!D18/NºAsuntos!G18)-Datos!BF18)/Datos!BF18," - ")</f>
        <v>6.8862103326690238E-2</v>
      </c>
      <c r="K18" s="857">
        <f>IF(ISNUMBER((((NºAsuntos!C18+NºAsuntos!E18)/NºAsuntos!G18)-Datos!BG18)/Datos!BG18),(((NºAsuntos!C18+NºAsuntos!E18)/NºAsuntos!G18)-Datos!BG18)/Datos!BG18," - ")</f>
        <v>-0.20176435063200782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9.1422491406122117E-2</v>
      </c>
      <c r="C19" s="802">
        <f>IF(ISNUMBER(
   IF(J_V="SI",(Datos!J19-Datos!T19)/Datos!T19,(Datos!J19+Datos!Z19-(Datos!T19+Datos!AH19))/(Datos!T19+Datos!AH19))
     ),IF(J_V="SI",(Datos!J19-Datos!T19)/Datos!T19,(Datos!J19+Datos!Z19-(Datos!T19+Datos!AH19))/(Datos!T19+Datos!AH19))," - ")</f>
        <v>0.32154340836012862</v>
      </c>
      <c r="D19" s="802">
        <f>IF(ISNUMBER(
   IF(J_V="SI",(Datos!K19-Datos!U19)/Datos!U19,(Datos!K19+Datos!AA19-(Datos!U19+Datos!AI19))/(Datos!U19+Datos!AI19))
     ),IF(J_V="SI",(Datos!K19-Datos!U19)/Datos!U19,(Datos!K19+Datos!AA19-(Datos!U19+Datos!AI19))/(Datos!U19+Datos!AI19))," - ")</f>
        <v>0.76767362192463406</v>
      </c>
      <c r="E19" s="802">
        <f>IF(ISNUMBER(
   IF(J_V="SI",(Datos!L19-Datos!V19)/Datos!V19,(Datos!L19+Datos!AB19-(Datos!V19+Datos!AJ19))/(Datos!V19+Datos!AJ19))
     ),IF(J_V="SI",(Datos!L19-Datos!V19)/Datos!V19,(Datos!L19+Datos!AB19-(Datos!V19+Datos!AJ19))/(Datos!V19+Datos!AJ19))," - ")</f>
        <v>-0.10720614294152392</v>
      </c>
      <c r="F19" s="803">
        <f>IF(ISNUMBER((Datos!M19-Datos!W19)/Datos!W19),(Datos!M19-Datos!W19)/Datos!W19," - ")</f>
        <v>0.50452898550724634</v>
      </c>
      <c r="G19" s="804">
        <f>IF(ISNUMBER((Datos!N19-Datos!X19)/Datos!X19),(Datos!N19-Datos!X19)/Datos!X19," - ")</f>
        <v>1.1042183622828785</v>
      </c>
      <c r="H19" s="805">
        <f>IF(ISNUMBER((Tasas!B19-Datos!BD19)/Datos!BD19),(Tasas!B19-Datos!BD19)/Datos!BD19," - ")</f>
        <v>0.33758271634686432</v>
      </c>
      <c r="I19" s="806">
        <f>IF(ISNUMBER((Tasas!C19-Datos!BE19)/Datos!BE19),(Tasas!C19-Datos!BE19)/Datos!BE19," - ")</f>
        <v>-0.49493286204813836</v>
      </c>
      <c r="J19" s="807">
        <f>IF(ISNUMBER((Tasas!D19-Datos!BF19)/Datos!BF19),(Tasas!D19-Datos!BF19)/Datos!BF19," - ")</f>
        <v>0.40456367828878009</v>
      </c>
      <c r="K19" s="807">
        <f>IF(ISNUMBER((Tasas!E19-Datos!BG19)/Datos!BG19),(Tasas!E19-Datos!BG19)/Datos!BG19," - ")</f>
        <v>-0.35408835205854278</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wDpuelWuj03aFPT5/XrRUWAeNxYwF6RhM8FdLdk5Czs5dFQa5Yr1gkWOKzXfoC4BNE05wJ+u5oKd8KPQedSgFg==" saltValue="d8lAN5/LMrgrdbpKC3jp6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ANDALUCIA</v>
      </c>
    </row>
    <row r="3" spans="1:7" ht="19.5">
      <c r="A3" s="436" t="s">
        <v>12</v>
      </c>
      <c r="B3" s="391" t="str">
        <f>Criterios!A10 &amp;"  "&amp;Criterios!B10</f>
        <v>Provincias  CADIZ</v>
      </c>
    </row>
    <row r="4" spans="1:7" ht="11.25" customHeight="1" thickBot="1">
      <c r="B4" s="391" t="str">
        <f>Criterios!A11 &amp;"  "&amp;Criterios!B11</f>
        <v>Resumenes por Partidos Judiciales  CADIZ</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f>IF(ISNUMBER(NºAsuntos!G9/NºAsuntos!E9),NºAsuntos!G9/NºAsuntos!E9," - ")</f>
        <v>1.5078558225508318</v>
      </c>
      <c r="C9" s="443">
        <f>IF(ISNUMBER(NºAsuntos!I9/NºAsuntos!G9),NºAsuntos!I9/NºAsuntos!G9," - ")</f>
        <v>3.2889978547349066</v>
      </c>
      <c r="D9" s="444">
        <f>IF(ISNUMBER('Resol  Asuntos'!D9/NºAsuntos!G9),'Resol  Asuntos'!D9/NºAsuntos!G9," - ")</f>
        <v>0.3910511798958014</v>
      </c>
      <c r="E9" s="445">
        <f>IF(ISNUMBER((NºAsuntos!C9+NºAsuntos!E9)/NºAsuntos!G9),(NºAsuntos!C9+NºAsuntos!E9)/NºAsuntos!G9," - ")</f>
        <v>4.2889978547349061</v>
      </c>
      <c r="G9" s="463"/>
    </row>
    <row r="10" spans="1:7">
      <c r="A10" s="402" t="str">
        <f>Datos!A10</f>
        <v>Jdos. Violencia contra la mujer</v>
      </c>
      <c r="B10" s="442">
        <f>IF(ISNUMBER(NºAsuntos!G10/NºAsuntos!E10),NºAsuntos!G10/NºAsuntos!E10," - ")</f>
        <v>1.0789473684210527</v>
      </c>
      <c r="C10" s="443">
        <f>IF(ISNUMBER(NºAsuntos!I10/NºAsuntos!G10),NºAsuntos!I10/NºAsuntos!G10," - ")</f>
        <v>1.5365853658536586</v>
      </c>
      <c r="D10" s="444">
        <f>IF(ISNUMBER('Resol  Asuntos'!D10/NºAsuntos!G10),'Resol  Asuntos'!D10/NºAsuntos!G10," - ")</f>
        <v>0.36585365853658536</v>
      </c>
      <c r="E10" s="445">
        <f>IF(ISNUMBER((NºAsuntos!C10+NºAsuntos!E10)/NºAsuntos!G10),(NºAsuntos!C10+NºAsuntos!E10)/NºAsuntos!G10," - ")</f>
        <v>2.5365853658536586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t="str">
        <f>IF(ISNUMBER(NºAsuntos!G12/NºAsuntos!E12),NºAsuntos!G12/NºAsuntos!E12," - ")</f>
        <v xml:space="preserve"> - </v>
      </c>
      <c r="C12" s="443" t="str">
        <f>IF(ISNUMBER(NºAsuntos!I12/NºAsuntos!G12),NºAsuntos!I12/NºAsuntos!G12," - ")</f>
        <v xml:space="preserve"> - </v>
      </c>
      <c r="D12" s="444" t="str">
        <f>IF(ISNUMBER('Resol  Asuntos'!D12/NºAsuntos!G12),'Resol  Asuntos'!D12/NºAsuntos!G12," - ")</f>
        <v xml:space="preserve"> - </v>
      </c>
      <c r="E12" s="445" t="str">
        <f>IF(ISNUMBER((NºAsuntos!C12+NºAsuntos!E12)/NºAsuntos!G12),(NºAsuntos!C12+NºAsuntos!E12)/NºAsuntos!G12," - ")</f>
        <v xml:space="preserve"> - </v>
      </c>
      <c r="G12" s="463"/>
    </row>
    <row r="13" spans="1:7" ht="14.25" thickTop="1" thickBot="1">
      <c r="A13" s="848" t="str">
        <f>Datos!A13</f>
        <v>TOTAL</v>
      </c>
      <c r="B13" s="858">
        <f>IF(ISNUMBER(NºAsuntos!G13/NºAsuntos!E13),NºAsuntos!G13/NºAsuntos!E13," - ")</f>
        <v>1.5004541326067211</v>
      </c>
      <c r="C13" s="859">
        <f>IF(ISNUMBER(NºAsuntos!I13/NºAsuntos!G13),NºAsuntos!I13/NºAsuntos!G13," - ")</f>
        <v>3.2672518159806296</v>
      </c>
      <c r="D13" s="860">
        <f>IF(ISNUMBER('Resol  Asuntos'!D13/NºAsuntos!G13),'Resol  Asuntos'!D13/NºAsuntos!G13," - ")</f>
        <v>0.39073849878934624</v>
      </c>
      <c r="E13" s="861">
        <f>IF(ISNUMBER((NºAsuntos!C13+NºAsuntos!E13)/NºAsuntos!G13),(NºAsuntos!C13+NºAsuntos!E13)/NºAsuntos!G13," - ")</f>
        <v>4.2672518159806296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f>IF(ISNUMBER(NºAsuntos!G15/NºAsuntos!E15),NºAsuntos!G15/NºAsuntos!E15," - ")</f>
        <v>1.0788059701492538</v>
      </c>
      <c r="C15" s="443">
        <f>IF(ISNUMBER(NºAsuntos!I15/NºAsuntos!G15),NºAsuntos!I15/NºAsuntos!G15," - ")</f>
        <v>0.60542335362479249</v>
      </c>
      <c r="D15" s="444">
        <f>IF(ISNUMBER('Resol  Asuntos'!D15/NºAsuntos!G15),'Resol  Asuntos'!D15/NºAsuntos!G15," - ")</f>
        <v>0.1831765356945213</v>
      </c>
      <c r="E15" s="445">
        <f>IF(ISNUMBER((NºAsuntos!C15+NºAsuntos!E15)/NºAsuntos!G15),(NºAsuntos!C15+NºAsuntos!E15)/NºAsuntos!G15," - ")</f>
        <v>1.6021029330381849</v>
      </c>
      <c r="G15" s="463"/>
    </row>
    <row r="16" spans="1:7">
      <c r="A16" s="402" t="str">
        <f>Datos!A16</f>
        <v xml:space="preserve">Jdos. 1ª Instª. e Instr.                        </v>
      </c>
      <c r="B16" s="442" t="str">
        <f>IF(ISNUMBER(NºAsuntos!G16/NºAsuntos!E16),NºAsuntos!G16/NºAsuntos!E16," - ")</f>
        <v xml:space="preserve"> - </v>
      </c>
      <c r="C16" s="443" t="str">
        <f>IF(ISNUMBER(NºAsuntos!I16/NºAsuntos!G16),NºAsuntos!I16/NºAsuntos!G16," - ")</f>
        <v xml:space="preserve"> - </v>
      </c>
      <c r="D16" s="444" t="str">
        <f>IF(ISNUMBER('Resol  Asuntos'!D16/NºAsuntos!G16),'Resol  Asuntos'!D16/NºAsuntos!G16," - ")</f>
        <v xml:space="preserve"> - </v>
      </c>
      <c r="E16" s="445" t="str">
        <f>IF(ISNUMBER((NºAsuntos!C16+NºAsuntos!E16)/NºAsuntos!G16),(NºAsuntos!C16+NºAsuntos!E16)/NºAsuntos!G16," - ")</f>
        <v xml:space="preserve"> - </v>
      </c>
      <c r="G16" s="463"/>
    </row>
    <row r="17" spans="1:7" ht="13.5" thickBot="1">
      <c r="A17" s="402" t="str">
        <f>Datos!A17</f>
        <v>Jdos. Violencia contra la mujer</v>
      </c>
      <c r="B17" s="442">
        <f>IF(ISNUMBER(NºAsuntos!G17/NºAsuntos!E17),NºAsuntos!G17/NºAsuntos!E17," - ")</f>
        <v>0.87732919254658381</v>
      </c>
      <c r="C17" s="443">
        <f>IF(ISNUMBER(NºAsuntos!I17/NºAsuntos!G17),NºAsuntos!I17/NºAsuntos!G17," - ")</f>
        <v>0.35929203539823007</v>
      </c>
      <c r="D17" s="444">
        <f>IF(ISNUMBER('Resol  Asuntos'!D17/NºAsuntos!G17),'Resol  Asuntos'!D17/NºAsuntos!G17," - ")</f>
        <v>6.9026548672566371E-2</v>
      </c>
      <c r="E17" s="445">
        <f>IF(ISNUMBER((NºAsuntos!C17+NºAsuntos!E17)/NºAsuntos!G17),(NºAsuntos!C17+NºAsuntos!E17)/NºAsuntos!G17," - ")</f>
        <v>1.5256637168141594</v>
      </c>
      <c r="G17" s="463"/>
    </row>
    <row r="18" spans="1:7" ht="14.25" thickTop="1" thickBot="1">
      <c r="A18" s="848" t="str">
        <f>Datos!A18</f>
        <v>TOTAL</v>
      </c>
      <c r="B18" s="858">
        <f>IF(ISNUMBER(NºAsuntos!G18/NºAsuntos!E18),NºAsuntos!G18/NºAsuntos!E18," - ")</f>
        <v>1.0228546787408366</v>
      </c>
      <c r="C18" s="859">
        <f>IF(ISNUMBER(NºAsuntos!I18/NºAsuntos!G18),NºAsuntos!I18/NºAsuntos!G18," - ")</f>
        <v>0.54679595278246207</v>
      </c>
      <c r="D18" s="862">
        <f>IF(ISNUMBER('Resol  Asuntos'!D18/NºAsuntos!G18),'Resol  Asuntos'!D18/NºAsuntos!G18," - ")</f>
        <v>0.15598650927487354</v>
      </c>
      <c r="E18" s="861">
        <f>IF(ISNUMBER((NºAsuntos!C18+NºAsuntos!E18)/NºAsuntos!G18),(NºAsuntos!C18+NºAsuntos!E18)/NºAsuntos!G18," - ")</f>
        <v>1.5838954468802697</v>
      </c>
      <c r="G18" s="463"/>
    </row>
    <row r="19" spans="1:7" ht="15.75" customHeight="1" thickTop="1" thickBot="1">
      <c r="A19" s="793" t="str">
        <f>Datos!A19</f>
        <v>TOTAL JURISDICCIONES</v>
      </c>
      <c r="B19" s="808">
        <f>IF(ISNUMBER(NºAsuntos!G19/NºAsuntos!E19),NºAsuntos!G19/NºAsuntos!E19," - ")</f>
        <v>1.2554744525547445</v>
      </c>
      <c r="C19" s="809">
        <f>IF(ISNUMBER(NºAsuntos!I19/NºAsuntos!G19),NºAsuntos!I19/NºAsuntos!G19," - ")</f>
        <v>2.1303735024665258</v>
      </c>
      <c r="D19" s="810">
        <f>IF(ISNUMBER('Resol  Asuntos'!D19/NºAsuntos!G19),'Resol  Asuntos'!D19/NºAsuntos!G19," - ")</f>
        <v>0.2926356589147287</v>
      </c>
      <c r="E19" s="811">
        <f>IF(ISNUMBER((NºAsuntos!C19+NºAsuntos!E19)/NºAsuntos!G19),(NºAsuntos!C19+NºAsuntos!E19)/NºAsuntos!G19," - ")</f>
        <v>3.1458773784355181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jcNTc9HCHSxgsJV/vBHohnDITyMlwHXFi/tHs+EsgV0VtREDN4qxW8mBxj5Pwa1Sso4m96aY0ZRZWCMs6LGjrQ==" saltValue="Zwzw0al9+HPomCTgThflw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ANDALUCIA</v>
      </c>
      <c r="G2" s="263"/>
      <c r="H2" s="262"/>
      <c r="I2" s="262"/>
      <c r="J2" s="262"/>
      <c r="K2" s="262"/>
      <c r="L2" s="262" t="str">
        <f>Criterios!A10 &amp;"  "&amp;Criterios!B10</f>
        <v>Provincias  CADIZ</v>
      </c>
      <c r="N2" s="262" t="str">
        <f>Criterios!A11 &amp;"  "&amp;Criterios!B11</f>
        <v>Resumenes por Partidos Judiciales  CADIZ</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6</v>
      </c>
      <c r="B9" s="177" t="s">
        <v>246</v>
      </c>
      <c r="C9" s="160" t="str">
        <f>Datos!A9</f>
        <v xml:space="preserve">Jdos. 1ª Instancia   </v>
      </c>
      <c r="D9" s="160"/>
      <c r="E9" s="1025">
        <f>IF(ISNUMBER(Datos!AQ9),Datos!AQ9," - ")</f>
        <v>6</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584</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f>IF(ISNUMBER(Datos!Q9),Datos!Q9," - ")</f>
        <v>356</v>
      </c>
      <c r="Y9" s="334">
        <f>SUM(W9:X9)</f>
        <v>356</v>
      </c>
      <c r="Z9" s="335" t="str">
        <f>IF(ISNUMBER(Datos!CC9),Datos!CC9," - ")</f>
        <v xml:space="preserve"> - </v>
      </c>
      <c r="AA9" s="332" t="str">
        <f>IF(ISNUMBER(IF(J_V="SI",Datos!L9,Datos!L9+Datos!AB9)-IF(Monitorios="SI",Datos!CD9,0)),
                          IF(J_V="SI",Datos!L9,Datos!L9+Datos!AB9)-IF(Monitorios="SI",Datos!CD9,0),
                          " - ")</f>
        <v xml:space="preserve"> - </v>
      </c>
      <c r="AB9" s="334">
        <f>IF(ISNUMBER(Datos!R9),Datos!R9," - ")</f>
        <v>8737</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f>IF(ISNUMBER(Datos!M9),Datos!M9," - ")</f>
        <v>1276</v>
      </c>
      <c r="AJ9" s="229" t="str">
        <f>IF(ISNUMBER(Datos!BW9),Datos!BW9," - ")</f>
        <v xml:space="preserve"> - </v>
      </c>
      <c r="AK9" s="228" t="str">
        <f>IF(ISNUMBER(Datos!BX9),Datos!BX9," - ")</f>
        <v xml:space="preserve"> - </v>
      </c>
      <c r="AL9" s="243">
        <f>IF(ISNUMBER(NºAsuntos!G9/NºAsuntos!E9),NºAsuntos!G9/NºAsuntos!E9," - ")</f>
        <v>1.5078558225508318</v>
      </c>
      <c r="AM9" s="260">
        <f>IF(ISNUMBER(((NºAsuntos!I9/NºAsuntos!G9)*11)/factor_trimestre),((NºAsuntos!I9/NºAsuntos!G9)*11)/factor_trimestre," - ")</f>
        <v>9.8669935642047211</v>
      </c>
      <c r="AN9" s="244">
        <f>IF(ISNUMBER('Resol  Asuntos'!D9/NºAsuntos!G9),'Resol  Asuntos'!D9/NºAsuntos!G9," - ")</f>
        <v>0.3910511798958014</v>
      </c>
      <c r="AO9" s="245">
        <f>IF(ISNUMBER((NºAsuntos!C9+NºAsuntos!E9)/NºAsuntos!G9),(NºAsuntos!C9+NºAsuntos!E9)/NºAsuntos!G9," - ")</f>
        <v>4.2889978547349061</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1</v>
      </c>
      <c r="F10" s="225">
        <f>IF(ISNUMBER(Datos!L10+Datos!K10-Datos!J10-K10),Datos!L10+Datos!K10-Datos!J10-K10," - ")</f>
        <v>66</v>
      </c>
      <c r="G10" s="333">
        <f>IF(ISNUMBER(Datos!I10),Datos!I10," - ")</f>
        <v>66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6</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41</v>
      </c>
      <c r="X10" s="226">
        <f>IF(ISNUMBER(Datos!Q10),Datos!Q10," - ")</f>
        <v>4</v>
      </c>
      <c r="Y10" s="334">
        <f t="shared" ref="Y10:Y12" si="0">SUM(W10:X10)</f>
        <v>45</v>
      </c>
      <c r="Z10" s="335" t="str">
        <f>IF(ISNUMBER(Datos!CC10),Datos!CC10," - ")</f>
        <v xml:space="preserve"> - </v>
      </c>
      <c r="AA10" s="332">
        <f>IF(ISNUMBER(Datos!L10),Datos!L10,"-")</f>
        <v>63</v>
      </c>
      <c r="AB10" s="334">
        <f>IF(ISNUMBER(Datos!R10),Datos!R10," - ")</f>
        <v>40</v>
      </c>
      <c r="AC10" s="334">
        <f t="shared" ref="AC10:AC12" si="1">IF(ISNUMBER(AA10+AB10),AA10+AB10," - ")</f>
        <v>103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15</v>
      </c>
      <c r="AJ10" s="231" t="str">
        <f>IF(ISNUMBER(Datos!BW10),Datos!BW10," - ")</f>
        <v xml:space="preserve"> - </v>
      </c>
      <c r="AK10" s="232" t="str">
        <f>IF(ISNUMBER(Datos!BX10),Datos!BX10," - ")</f>
        <v xml:space="preserve"> - </v>
      </c>
      <c r="AL10" s="243">
        <f>IF(ISNUMBER(NºAsuntos!G10/NºAsuntos!E10),NºAsuntos!G10/NºAsuntos!E10," - ")</f>
        <v>1.0789473684210527</v>
      </c>
      <c r="AM10" s="260">
        <f>IF(ISNUMBER(((NºAsuntos!I10/NºAsuntos!G10)*11)/factor_trimestre),((NºAsuntos!I10/NºAsuntos!G10)*11)/factor_trimestre," - ")</f>
        <v>4.6097560975609762</v>
      </c>
      <c r="AN10" s="244">
        <f>IF(ISNUMBER('Resol  Asuntos'!D10/NºAsuntos!G10),'Resol  Asuntos'!D10/NºAsuntos!G10," - ")</f>
        <v>0.36585365853658536</v>
      </c>
      <c r="AO10" s="245">
        <f>IF(ISNUMBER((NºAsuntos!C10+NºAsuntos!E10)/NºAsuntos!G10),(NºAsuntos!C10+NºAsuntos!E10)/NºAsuntos!G10," - ")</f>
        <v>2.5365853658536586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0</v>
      </c>
      <c r="B12" s="275" t="s">
        <v>246</v>
      </c>
      <c r="C12" s="7" t="str">
        <f>Datos!A12</f>
        <v xml:space="preserve">Jdos. 1ª Instª. e Instr.                        </v>
      </c>
      <c r="D12" s="7"/>
      <c r="E12" s="1025">
        <f>IF(ISNUMBER(Datos!AQ12),Datos!AQ12," - ")</f>
        <v>0</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t="str">
        <f>IF(ISNUMBER(Datos!Q12),Datos!Q12," - ")</f>
        <v xml:space="preserve"> - </v>
      </c>
      <c r="Y12" s="334">
        <f t="shared" si="0"/>
        <v>0</v>
      </c>
      <c r="Z12" s="335" t="str">
        <f>IF(ISNUMBER(Datos!CC12),Datos!CC12," - ")</f>
        <v xml:space="preserve"> - </v>
      </c>
      <c r="AA12" s="332" t="str">
        <f>IF(ISNUMBER(IF(J_V="SI",Datos!L12,Datos!L12+Datos!AB12)-IF(Monitorios="SI",Datos!CD12,0)),
                          IF(J_V="SI",Datos!L12,Datos!L12+Datos!AB12)-IF(Monitorios="SI",Datos!CD12,0),
                          " - ")</f>
        <v xml:space="preserve"> - </v>
      </c>
      <c r="AB12" s="334" t="str">
        <f>IF(ISNUMBER(Datos!R12),Datos!R12," - ")</f>
        <v xml:space="preserve"> - </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t="str">
        <f>IF(ISNUMBER(Datos!M12),Datos!M12," - ")</f>
        <v xml:space="preserve"> - </v>
      </c>
      <c r="AJ12" s="229" t="str">
        <f>IF(ISNUMBER(Datos!BW12),Datos!BW12," - ")</f>
        <v xml:space="preserve"> - </v>
      </c>
      <c r="AK12" s="228" t="str">
        <f>IF(ISNUMBER(Datos!BX12),Datos!BX12," - ")</f>
        <v xml:space="preserve"> - </v>
      </c>
      <c r="AL12" s="243" t="str">
        <f>IF(ISNUMBER(NºAsuntos!G12/NºAsuntos!E12),NºAsuntos!G12/NºAsuntos!E12," - ")</f>
        <v xml:space="preserve"> - </v>
      </c>
      <c r="AM12" s="260" t="str">
        <f>IF(ISNUMBER(((NºAsuntos!I12/NºAsuntos!G12)*11)/factor_trimestre),((NºAsuntos!I12/NºAsuntos!G12)*11)/factor_trimestre," - ")</f>
        <v xml:space="preserve"> - </v>
      </c>
      <c r="AN12" s="244" t="str">
        <f>IF(ISNUMBER('Resol  Asuntos'!D12/NºAsuntos!G12),'Resol  Asuntos'!D12/NºAsuntos!G12," - ")</f>
        <v xml:space="preserve"> - </v>
      </c>
      <c r="AO12" s="245" t="str">
        <f>IF(ISNUMBER((NºAsuntos!C12+NºAsuntos!E12)/NºAsuntos!G12),(NºAsuntos!C12+NºAsuntos!E12)/NºAsuntos!G12," - ")</f>
        <v xml:space="preserve"> - </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7</v>
      </c>
      <c r="F13" s="865">
        <f t="shared" si="3"/>
        <v>66</v>
      </c>
      <c r="G13" s="866">
        <f t="shared" si="3"/>
        <v>66</v>
      </c>
      <c r="H13" s="865">
        <f t="shared" si="3"/>
        <v>0</v>
      </c>
      <c r="I13" s="867">
        <f t="shared" si="3"/>
        <v>0</v>
      </c>
      <c r="J13" s="867">
        <f t="shared" si="3"/>
        <v>0</v>
      </c>
      <c r="K13" s="867">
        <f t="shared" si="3"/>
        <v>0</v>
      </c>
      <c r="L13" s="867">
        <f t="shared" si="3"/>
        <v>590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41</v>
      </c>
      <c r="X13" s="867">
        <f t="shared" si="4"/>
        <v>360</v>
      </c>
      <c r="Y13" s="868">
        <f t="shared" si="4"/>
        <v>401</v>
      </c>
      <c r="Z13" s="868">
        <f t="shared" si="4"/>
        <v>0</v>
      </c>
      <c r="AA13" s="868">
        <f t="shared" si="4"/>
        <v>63</v>
      </c>
      <c r="AB13" s="868">
        <f t="shared" si="4"/>
        <v>8777</v>
      </c>
      <c r="AC13" s="868">
        <f t="shared" si="4"/>
        <v>103</v>
      </c>
      <c r="AD13" s="868">
        <f t="shared" si="4"/>
        <v>0</v>
      </c>
      <c r="AE13" s="872">
        <f t="shared" si="4"/>
        <v>0</v>
      </c>
      <c r="AF13" s="865">
        <f t="shared" si="4"/>
        <v>0</v>
      </c>
      <c r="AG13" s="873">
        <f t="shared" si="4"/>
        <v>0</v>
      </c>
      <c r="AH13" s="870">
        <f t="shared" si="4"/>
        <v>0</v>
      </c>
      <c r="AI13" s="865">
        <f t="shared" si="4"/>
        <v>1291</v>
      </c>
      <c r="AJ13" s="867">
        <f t="shared" si="4"/>
        <v>0</v>
      </c>
      <c r="AK13" s="870">
        <f>SUBTOTAL(9,AK9:AK12)</f>
        <v>0</v>
      </c>
      <c r="AL13" s="874">
        <f>IF(ISNUMBER(NºAsuntos!G13/NºAsuntos!E13),NºAsuntos!G13/NºAsuntos!E13," - ")</f>
        <v>1.5004541326067211</v>
      </c>
      <c r="AM13" s="874">
        <f>IF(ISNUMBER(((NºAsuntos!I13/NºAsuntos!G13)*11)/factor_trimestre),((NºAsuntos!I13/NºAsuntos!G13)*11)/factor_trimestre," - ")</f>
        <v>9.801755447941888</v>
      </c>
      <c r="AN13" s="875">
        <f>IF(ISNUMBER('Resol  Asuntos'!D13/NºAsuntos!G13),'Resol  Asuntos'!D13/NºAsuntos!G13," - ")</f>
        <v>0.39073849878934624</v>
      </c>
      <c r="AO13" s="876">
        <f>IF(ISNUMBER((NºAsuntos!C13+NºAsuntos!E13)/NºAsuntos!G13),(NºAsuntos!C13+NºAsuntos!E13)/NºAsuntos!G13," - ")</f>
        <v>4.2672518159806296</v>
      </c>
      <c r="AP13" s="877" t="str">
        <f t="shared" si="2"/>
        <v xml:space="preserve"> - </v>
      </c>
      <c r="AQ13" s="877">
        <f>IF(ISNUMBER((H13-W13+K13)/(F13)),(H13-W13+K13)/(F13)," - ")</f>
        <v>-0.62121212121212122</v>
      </c>
      <c r="AR13" s="878">
        <f>IF(ISNUMBER((Datos!P13-Datos!Q13)/(Datos!R13-Datos!P13+Datos!Q13)),(Datos!P13-Datos!Q13)/(Datos!R13-Datos!P13+Datos!Q13)," - ")</f>
        <v>2.6910026910026912E-2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4</v>
      </c>
      <c r="B15" s="275" t="s">
        <v>396</v>
      </c>
      <c r="C15" s="160" t="str">
        <f>Datos!A15</f>
        <v xml:space="preserve">Jdos. Instrucción                               </v>
      </c>
      <c r="D15" s="160"/>
      <c r="E15" s="1025">
        <f>IF(ISNUMBER(Datos!AQ15),Datos!AQ15," - ")</f>
        <v>4</v>
      </c>
      <c r="F15" s="225">
        <f>IF(ISNUMBER(AA15+W15-Datos!J15-K15),AA15+W15-Datos!J15-K15," - ")</f>
        <v>1226</v>
      </c>
      <c r="G15" s="333">
        <f>IF(ISNUMBER(IF(D_I="SI",Datos!I15,Datos!I15+Datos!AC15)),IF(D_I="SI",Datos!I15,Datos!I15+Datos!AC15)," - ")</f>
        <v>1220</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138</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f>IF(ISNUMBER(IF(D_I="SI",Datos!K15,Datos!K15+Datos!AE15)),IF(D_I="SI",Datos!K15,Datos!K15+Datos!AE15)," - ")</f>
        <v>1807</v>
      </c>
      <c r="X15" s="226">
        <f>IF(ISNUMBER(Datos!Q15),Datos!Q15," - ")</f>
        <v>148</v>
      </c>
      <c r="Y15" s="334">
        <f>SUM(W15)</f>
        <v>1807</v>
      </c>
      <c r="Z15" s="335" t="str">
        <f>IF(ISNUMBER(Datos!CC15),Datos!CC15," - ")</f>
        <v xml:space="preserve"> - </v>
      </c>
      <c r="AA15" s="332">
        <f>IF(ISNUMBER(IF(D_I="SI",Datos!L15,Datos!L15+Datos!AF15)),IF(D_I="SI",Datos!L15,Datos!L15+Datos!AF15)," - ")</f>
        <v>1094</v>
      </c>
      <c r="AB15" s="334">
        <f>IF(ISNUMBER(Datos!R15),Datos!R15," - ")</f>
        <v>237</v>
      </c>
      <c r="AC15" s="334">
        <f t="shared" ref="AC15:AC17" si="6">IF(ISNUMBER(AA15+AB15),AA15+AB15," - ")</f>
        <v>1331</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f>IF(ISNUMBER(Datos!M15),Datos!M15," - ")</f>
        <v>331</v>
      </c>
      <c r="AJ15" s="231" t="str">
        <f>IF(ISNUMBER(Datos!BW15),Datos!BW15," - ")</f>
        <v xml:space="preserve"> - </v>
      </c>
      <c r="AK15" s="232" t="str">
        <f>IF(ISNUMBER(Datos!BX15),Datos!BX15," - ")</f>
        <v xml:space="preserve"> - </v>
      </c>
      <c r="AL15" s="243">
        <f>IF(ISNUMBER(NºAsuntos!G15/NºAsuntos!E15),NºAsuntos!G15/NºAsuntos!E15," - ")</f>
        <v>1.0788059701492538</v>
      </c>
      <c r="AM15" s="260">
        <f>IF(ISNUMBER(((NºAsuntos!I15/NºAsuntos!G15)*11)/factor_trimestre),((NºAsuntos!I15/NºAsuntos!G15)*11)/factor_trimestre," - ")</f>
        <v>1.8162700608743776</v>
      </c>
      <c r="AN15" s="244">
        <f>IF(ISNUMBER('Resol  Asuntos'!D15/NºAsuntos!G15),'Resol  Asuntos'!D15/NºAsuntos!G15," - ")</f>
        <v>0.1831765356945213</v>
      </c>
      <c r="AO15" s="245">
        <f>IF(ISNUMBER((NºAsuntos!C15+NºAsuntos!E15)/NºAsuntos!G15),(NºAsuntos!C15+NºAsuntos!E15)/NºAsuntos!G15," - ")</f>
        <v>1.6021029330381849</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0</v>
      </c>
      <c r="B16" s="275" t="s">
        <v>396</v>
      </c>
      <c r="C16" s="160" t="str">
        <f>Datos!A16</f>
        <v xml:space="preserve">Jdos. 1ª Instª. e Instr.                        </v>
      </c>
      <c r="D16" s="160"/>
      <c r="E16" s="1025">
        <f>IF(ISNUMBER(Datos!AQ16),Datos!AQ16," - ")</f>
        <v>0</v>
      </c>
      <c r="F16" s="225" t="str">
        <f>IF(ISNUMBER(AA16+W16-Datos!J16-K16),AA16+W16-Datos!J16-K16," - ")</f>
        <v xml:space="preserve"> - </v>
      </c>
      <c r="G16" s="333" t="str">
        <f>IF(ISNUMBER(IF(D_I="SI",Datos!I16,Datos!I16+Datos!AC16)),IF(D_I="SI",Datos!I16,Datos!I16+Datos!AC16)," - ")</f>
        <v xml:space="preserve"> - </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t="str">
        <f>IF(ISNUMBER(IF(D_I="SI",Datos!K16,Datos!K16+Datos!AE16)),IF(D_I="SI",Datos!K16,Datos!K16+Datos!AE16)," - ")</f>
        <v xml:space="preserve"> - </v>
      </c>
      <c r="X16" s="226" t="str">
        <f>IF(ISNUMBER(Datos!Q16),Datos!Q16," - ")</f>
        <v xml:space="preserve"> - </v>
      </c>
      <c r="Y16" s="334">
        <f t="shared" ref="Y16:Y17" si="7">SUM(W16:X16)</f>
        <v>0</v>
      </c>
      <c r="Z16" s="335" t="str">
        <f>IF(ISNUMBER(Datos!CC16),Datos!CC16," - ")</f>
        <v xml:space="preserve"> - </v>
      </c>
      <c r="AA16" s="332" t="str">
        <f>IF(ISNUMBER(IF(D_I="SI",Datos!L16,Datos!L16+Datos!AF16)),IF(D_I="SI",Datos!L16,Datos!L16+Datos!AF16)," - ")</f>
        <v xml:space="preserve"> - </v>
      </c>
      <c r="AB16" s="334" t="str">
        <f>IF(ISNUMBER(Datos!R16),Datos!R16," - ")</f>
        <v xml:space="preserve"> - </v>
      </c>
      <c r="AC16" s="334" t="str">
        <f t="shared" si="6"/>
        <v xml:space="preserve"> - </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t="str">
        <f>IF(ISNUMBER(Datos!M16),Datos!M16," - ")</f>
        <v xml:space="preserve"> - </v>
      </c>
      <c r="AJ16" s="231" t="str">
        <f>IF(ISNUMBER(Datos!BW16),Datos!BW16," - ")</f>
        <v xml:space="preserve"> - </v>
      </c>
      <c r="AK16" s="232" t="str">
        <f>IF(ISNUMBER(Datos!BX16),Datos!BX16," - ")</f>
        <v xml:space="preserve"> - </v>
      </c>
      <c r="AL16" s="243" t="str">
        <f>IF(ISNUMBER(NºAsuntos!G16/NºAsuntos!E16),NºAsuntos!G16/NºAsuntos!E16," - ")</f>
        <v xml:space="preserve"> - </v>
      </c>
      <c r="AM16" s="260" t="str">
        <f>IF(ISNUMBER(((NºAsuntos!I16/NºAsuntos!G16)*11)/factor_trimestre),((NºAsuntos!I16/NºAsuntos!G16)*11)/factor_trimestre," - ")</f>
        <v xml:space="preserve"> - </v>
      </c>
      <c r="AN16" s="244" t="str">
        <f>IF(ISNUMBER('Resol  Asuntos'!D16/NºAsuntos!G16),'Resol  Asuntos'!D16/NºAsuntos!G16," - ")</f>
        <v xml:space="preserve"> - </v>
      </c>
      <c r="AO16" s="245" t="str">
        <f>IF(ISNUMBER((NºAsuntos!C16+NºAsuntos!E16)/NºAsuntos!G16),(NºAsuntos!C16+NºAsuntos!E16)/NºAsuntos!G16," - ")</f>
        <v xml:space="preserve"> - </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1</v>
      </c>
      <c r="F17" s="225" t="str">
        <f>IF(ISNUMBER(AA17+W17-H17-K17),AA17+W17-H17-K17," - ")</f>
        <v xml:space="preserve"> - </v>
      </c>
      <c r="G17" s="333">
        <f>IF(ISNUMBER(IF(D_I="SI",Datos!I17,Datos!I17+Datos!AC17)),IF(D_I="SI",Datos!I17,Datos!I17+Datos!AC17)," - ")</f>
        <v>218</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7</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565</v>
      </c>
      <c r="X17" s="226">
        <f>IF(ISNUMBER(Datos!Q17),Datos!Q17," - ")</f>
        <v>1</v>
      </c>
      <c r="Y17" s="334">
        <f t="shared" si="7"/>
        <v>566</v>
      </c>
      <c r="Z17" s="335" t="str">
        <f>IF(ISNUMBER(Datos!CC17),Datos!CC17," - ")</f>
        <v xml:space="preserve"> - </v>
      </c>
      <c r="AA17" s="332">
        <f>IF(ISNUMBER(Datos!L17),Datos!L17,"-")</f>
        <v>203</v>
      </c>
      <c r="AB17" s="334">
        <f>IF(ISNUMBER(Datos!R17),Datos!R17," - ")</f>
        <v>12</v>
      </c>
      <c r="AC17" s="334">
        <f t="shared" si="6"/>
        <v>215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39</v>
      </c>
      <c r="AJ17" s="231" t="str">
        <f>IF(ISNUMBER(Datos!BW17),Datos!BW17," - ")</f>
        <v xml:space="preserve"> - </v>
      </c>
      <c r="AK17" s="232" t="str">
        <f>IF(ISNUMBER(Datos!BX17),Datos!BX17," - ")</f>
        <v xml:space="preserve"> - </v>
      </c>
      <c r="AL17" s="243">
        <f>IF(ISNUMBER(NºAsuntos!G17/NºAsuntos!E17),NºAsuntos!G17/NºAsuntos!E17," - ")</f>
        <v>0.87732919254658381</v>
      </c>
      <c r="AM17" s="260">
        <f>IF(ISNUMBER(((NºAsuntos!I17/NºAsuntos!G17)*11)/factor_trimestre),((NºAsuntos!I17/NºAsuntos!G17)*11)/factor_trimestre," - ")</f>
        <v>1.0778761061946902</v>
      </c>
      <c r="AN17" s="244">
        <f>IF(ISNUMBER('Resol  Asuntos'!D17/NºAsuntos!G17),'Resol  Asuntos'!D17/NºAsuntos!G17," - ")</f>
        <v>6.9026548672566371E-2</v>
      </c>
      <c r="AO17" s="245">
        <f>IF(ISNUMBER((NºAsuntos!C17+NºAsuntos!E17)/NºAsuntos!G17),(NºAsuntos!C17+NºAsuntos!E17)/NºAsuntos!G17," - ")</f>
        <v>1.5256637168141594</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5</v>
      </c>
      <c r="F18" s="865">
        <f>SUBTOTAL(9,F14:F17)</f>
        <v>1226</v>
      </c>
      <c r="G18" s="866">
        <f>SUBTOTAL(9,G15:G17)</f>
        <v>1438</v>
      </c>
      <c r="H18" s="865">
        <f t="shared" ref="H18:O18" si="10">SUBTOTAL(9,H14:H17)</f>
        <v>0</v>
      </c>
      <c r="I18" s="867">
        <f t="shared" si="10"/>
        <v>0</v>
      </c>
      <c r="J18" s="867">
        <f t="shared" si="10"/>
        <v>0</v>
      </c>
      <c r="K18" s="867">
        <f t="shared" si="10"/>
        <v>0</v>
      </c>
      <c r="L18" s="867">
        <f t="shared" si="10"/>
        <v>145</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2372</v>
      </c>
      <c r="X18" s="867">
        <f t="shared" si="11"/>
        <v>149</v>
      </c>
      <c r="Y18" s="868">
        <f t="shared" si="11"/>
        <v>2373</v>
      </c>
      <c r="Z18" s="868">
        <f t="shared" si="11"/>
        <v>0</v>
      </c>
      <c r="AA18" s="868">
        <f t="shared" si="11"/>
        <v>1297</v>
      </c>
      <c r="AB18" s="868">
        <f t="shared" si="11"/>
        <v>249</v>
      </c>
      <c r="AC18" s="868">
        <f t="shared" si="11"/>
        <v>1546</v>
      </c>
      <c r="AD18" s="868">
        <f t="shared" si="11"/>
        <v>0</v>
      </c>
      <c r="AE18" s="872">
        <f t="shared" si="11"/>
        <v>0</v>
      </c>
      <c r="AF18" s="865">
        <f t="shared" si="11"/>
        <v>0</v>
      </c>
      <c r="AG18" s="873">
        <f t="shared" si="11"/>
        <v>0</v>
      </c>
      <c r="AH18" s="870">
        <f t="shared" si="11"/>
        <v>0</v>
      </c>
      <c r="AI18" s="865">
        <f t="shared" si="11"/>
        <v>370</v>
      </c>
      <c r="AJ18" s="867">
        <f t="shared" si="11"/>
        <v>0</v>
      </c>
      <c r="AK18" s="870">
        <f t="shared" si="11"/>
        <v>0</v>
      </c>
      <c r="AL18" s="874">
        <f>IF(ISNUMBER(NºAsuntos!G18/NºAsuntos!E18),NºAsuntos!G18/NºAsuntos!E18," - ")</f>
        <v>1.0228546787408366</v>
      </c>
      <c r="AM18" s="874">
        <f>IF(ISNUMBER(((NºAsuntos!I18/NºAsuntos!G18)*11)/factor_trimestre),((NºAsuntos!I18/NºAsuntos!G18)*11)/factor_trimestre," - ")</f>
        <v>1.6403878583473863</v>
      </c>
      <c r="AN18" s="875">
        <f>IF(ISNUMBER('Resol  Asuntos'!D18/NºAsuntos!G18),'Resol  Asuntos'!D18/NºAsuntos!G18," - ")</f>
        <v>0.15598650927487354</v>
      </c>
      <c r="AO18" s="876">
        <f>IF(ISNUMBER((NºAsuntos!C18+NºAsuntos!E18)/NºAsuntos!G18),(NºAsuntos!C18+NºAsuntos!E18)/NºAsuntos!G18," - ")</f>
        <v>1.5838954468802697</v>
      </c>
      <c r="AP18" s="877" t="str">
        <f t="shared" si="2"/>
        <v xml:space="preserve"> - </v>
      </c>
      <c r="AQ18" s="877">
        <f>IF(ISNUMBER((H18-W18+K18)/(F18)),(H18-W18+K18)/(F18)," - ")</f>
        <v>-1.9347471451876019</v>
      </c>
      <c r="AR18" s="878">
        <f>IF(ISNUMBER((Datos!P18-Datos!Q18)/(Datos!R18-Datos!P18+Datos!Q18)),(Datos!P18-Datos!Q18)/(Datos!R18-Datos!P18+Datos!Q18)," - ")</f>
        <v>-1.5810276679841896E-2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12</v>
      </c>
      <c r="F19" s="820">
        <f t="shared" si="13"/>
        <v>1292</v>
      </c>
      <c r="G19" s="821">
        <f t="shared" si="13"/>
        <v>1504</v>
      </c>
      <c r="H19" s="820">
        <f t="shared" si="13"/>
        <v>0</v>
      </c>
      <c r="I19" s="822">
        <f t="shared" si="13"/>
        <v>0</v>
      </c>
      <c r="J19" s="822">
        <f t="shared" si="13"/>
        <v>0</v>
      </c>
      <c r="K19" s="881">
        <f t="shared" si="13"/>
        <v>0</v>
      </c>
      <c r="L19" s="822">
        <f t="shared" si="13"/>
        <v>735</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2413</v>
      </c>
      <c r="X19" s="821">
        <f t="shared" si="14"/>
        <v>509</v>
      </c>
      <c r="Y19" s="828">
        <f t="shared" si="14"/>
        <v>2774</v>
      </c>
      <c r="Z19" s="828">
        <f t="shared" si="14"/>
        <v>0</v>
      </c>
      <c r="AA19" s="828">
        <f t="shared" si="14"/>
        <v>1360</v>
      </c>
      <c r="AB19" s="828">
        <f t="shared" si="14"/>
        <v>9026</v>
      </c>
      <c r="AC19" s="828">
        <f t="shared" si="14"/>
        <v>1649</v>
      </c>
      <c r="AD19" s="828">
        <f t="shared" si="14"/>
        <v>0</v>
      </c>
      <c r="AE19" s="830">
        <f t="shared" si="14"/>
        <v>0</v>
      </c>
      <c r="AF19" s="831">
        <f t="shared" si="14"/>
        <v>0</v>
      </c>
      <c r="AG19" s="832">
        <f t="shared" si="14"/>
        <v>0</v>
      </c>
      <c r="AH19" s="830">
        <f t="shared" si="14"/>
        <v>0</v>
      </c>
      <c r="AI19" s="820">
        <f t="shared" si="14"/>
        <v>1661</v>
      </c>
      <c r="AJ19" s="820">
        <f t="shared" si="14"/>
        <v>0</v>
      </c>
      <c r="AK19" s="830">
        <f t="shared" si="14"/>
        <v>0</v>
      </c>
      <c r="AL19" s="884">
        <f>IF(ISNUMBER(NºAsuntos!G19/NºAsuntos!E19),NºAsuntos!G19/NºAsuntos!E19," - ")</f>
        <v>1.2554744525547445</v>
      </c>
      <c r="AM19" s="885">
        <f>IF(ISNUMBER(((NºAsuntos!I19/NºAsuntos!G19)*11)/factor_trimestre),((NºAsuntos!I19/NºAsuntos!G19)*11)/factor_trimestre," - ")</f>
        <v>6.3911205073995774</v>
      </c>
      <c r="AN19" s="885">
        <f>IF(ISNUMBER('Resol  Asuntos'!D19/NºAsuntos!G19),'Resol  Asuntos'!D19/NºAsuntos!G19," - ")</f>
        <v>0.2926356589147287</v>
      </c>
      <c r="AO19" s="886">
        <f>IF(ISNUMBER((NºAsuntos!C19+NºAsuntos!E19)/NºAsuntos!G19),(NºAsuntos!C19+NºAsuntos!E19)/NºAsuntos!G19," - ")</f>
        <v>3.1458773784355181</v>
      </c>
      <c r="AP19" s="887" t="str">
        <f t="shared" si="2"/>
        <v xml:space="preserve"> - </v>
      </c>
      <c r="AQ19" s="888">
        <f>IF(OR(ISNUMBER(FIND("01",Criterios!A8,1)),ISNUMBER(FIND("02",Criterios!A8,1)),ISNUMBER(FIND("03",Criterios!A8,1)),ISNUMBER(FIND("04",Criterios!A8,1))),(I19-W19+K19)/(F19-K19),(H19-W19+K19)/(F19-K19))</f>
        <v>-1.8676470588235294</v>
      </c>
      <c r="AR19" s="889">
        <f>IF(ISNUMBER((Datos!P19-Datos!Q19)/(Datos!R19-Datos!P19+Datos!Q19)),(Datos!P19-Datos!Q19)/(Datos!R19-Datos!P19+Datos!Q19)," - ")</f>
        <v>2.5681818181818181E-2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601.6</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2.8284271247461903</v>
      </c>
      <c r="F21" s="252">
        <f>IF(ISNUMBER(STDEV(F8:F18)),STDEV(F8:F18),"-")</f>
        <v>669.72631225996588</v>
      </c>
      <c r="G21" s="253">
        <f>IF(ISNUMBER(STDEV(G8:G18)),STDEV(G8:G18),"-")</f>
        <v>671.35445183598802</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1067.2587315173391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583.74366520474257</v>
      </c>
      <c r="AJ21" s="252">
        <f t="shared" si="18"/>
        <v>0</v>
      </c>
      <c r="AK21" s="254">
        <f t="shared" si="18"/>
        <v>0</v>
      </c>
      <c r="AL21" s="249">
        <f t="shared" si="18"/>
        <v>0.26340269694068702</v>
      </c>
      <c r="AM21" s="250">
        <f t="shared" si="18"/>
        <v>4.0857837745716754</v>
      </c>
      <c r="AN21" s="250">
        <f t="shared" si="18"/>
        <v>0.14047105025481604</v>
      </c>
      <c r="AO21" s="251">
        <f t="shared" si="18"/>
        <v>1.3275510844596652</v>
      </c>
      <c r="AP21" s="291" t="str">
        <f t="shared" si="18"/>
        <v>-</v>
      </c>
      <c r="AQ21" s="292">
        <f t="shared" si="18"/>
        <v>0.92880952277909656</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NCPNN6KGX4NGs0ASLqX/gMoUxIvg0+36Z7VvlnOTmm58wnHIjkpRt+hOSFBvhJ1y5NZc3TqHwSyXH0AxFvY5LA==" saltValue="ORuLBYG0WCgCXyKUFn+MB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ANDALUCIA</v>
      </c>
      <c r="E2" s="263"/>
    </row>
    <row r="3" spans="2:20" ht="17.25" customHeight="1">
      <c r="C3" s="267"/>
      <c r="D3" s="262" t="str">
        <f>Criterios!A10 &amp;"  "&amp;Criterios!B10</f>
        <v>Provincias  CADIZ</v>
      </c>
      <c r="E3" s="263"/>
    </row>
    <row r="4" spans="2:20" ht="17.25" customHeight="1" thickBot="1">
      <c r="D4" s="262" t="str">
        <f>Criterios!A11 &amp;"  "&amp;Criterios!B11</f>
        <v>Resumenes por Partidos Judiciales  CADIZ</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f>IF(ISNUMBER((Datos!M9-Datos!W9)/Datos!W9),(Datos!M9-Datos!W9)/Datos!W9," - ")</f>
        <v>0.38545059717698155</v>
      </c>
      <c r="I9" s="350">
        <f>IF(ISNUMBER((Tasas!C9-Datos!BE9)/Datos!BE9),(Tasas!C9-Datos!BE9)/Datos!BE9," - ")</f>
        <v>-0.47112935885979629</v>
      </c>
      <c r="J9" s="349">
        <f>IF(ISNUMBER((Tasas!D9-Datos!BF9)/Datos!BF9),(Tasas!D9-Datos!BF9)/Datos!BF9," - ")</f>
        <v>0.59156220953476379</v>
      </c>
      <c r="K9" s="351">
        <f>IF(ISNUMBER((Tasas!E9-Datos!BG9)/Datos!BG9),(Tasas!E9-Datos!BG9)/Datos!BG9," - ")</f>
        <v>-0.35568939343315525</v>
      </c>
      <c r="M9" t="e">
        <f>IF(Monitorios="SI",Datos!CE9,0)</f>
        <v>#REF!</v>
      </c>
      <c r="N9" t="e">
        <f>IF(Monitorios="SI",Datos!CF9,0)</f>
        <v>#REF!</v>
      </c>
      <c r="O9" t="e">
        <f>IF(Monitorios="SI",Datos!CG9,0)</f>
        <v>#REF!</v>
      </c>
      <c r="P9" t="e">
        <f>IF(Monitorios="SI",Datos!CH9,0)</f>
        <v>#REF!</v>
      </c>
      <c r="Q9">
        <f>IF(J_V="SI",0,Datos!AG9)</f>
        <v>296</v>
      </c>
      <c r="R9">
        <f>IF(J_V="SI",0,Datos!AH9)</f>
        <v>121</v>
      </c>
      <c r="S9">
        <f>IF(J_V="SI",0,Datos!AI9)</f>
        <v>116</v>
      </c>
      <c r="T9">
        <f>IF(J_V="SI",0,Datos!AJ9)</f>
        <v>301</v>
      </c>
    </row>
    <row r="10" spans="2:20" ht="14.25">
      <c r="B10" s="275" t="s">
        <v>246</v>
      </c>
      <c r="C10" s="7" t="str">
        <f>Datos!A10</f>
        <v>Jdos. Violencia contra la mujer</v>
      </c>
      <c r="D10" s="352">
        <f>IF(ISNUMBER((Datos!I10-Datos!S10)/Datos!S10),(Datos!I10-Datos!S10)/Datos!S10," - ")</f>
        <v>0.26923076923076922</v>
      </c>
      <c r="E10" s="348">
        <f>IF(ISNUMBER((Datos!J10-Datos!T10)/Datos!T10),(Datos!J10-Datos!T10)/Datos!T10," - ")</f>
        <v>0.40740740740740738</v>
      </c>
      <c r="F10" s="348">
        <f>IF(ISNUMBER((Datos!K10-Datos!U10)/Datos!U10),(Datos!K10-Datos!U10)/Datos!U10," - ")</f>
        <v>0.51851851851851849</v>
      </c>
      <c r="G10" s="349">
        <f>IF(ISNUMBER((Datos!L10-Datos!V10)/Datos!V10),(Datos!L10-Datos!V10)/Datos!V10," - ")</f>
        <v>0.21153846153846154</v>
      </c>
      <c r="H10" s="230">
        <f>IF(ISNUMBER((Datos!M10-Datos!W10)/Datos!W10),(Datos!M10-Datos!W10)/Datos!W10," - ")</f>
        <v>1.1428571428571428</v>
      </c>
      <c r="I10" s="350">
        <f>IF(ISNUMBER((Tasas!C10-Datos!BE10)/Datos!BE10),(Tasas!C10-Datos!BE10)/Datos!BE10," - ")</f>
        <v>-0.20215759849906184</v>
      </c>
      <c r="J10" s="349">
        <f>IF(ISNUMBER((Tasas!D10-Datos!BF10)/Datos!BF10),(Tasas!D10-Datos!BF10)/Datos!BF10," - ")</f>
        <v>0.41114982578397219</v>
      </c>
      <c r="K10" s="351">
        <f>IF(ISNUMBER((Tasas!E10-Datos!BG10)/Datos!BG10),(Tasas!E10-Datos!BG10)/Datos!BG10," - ")</f>
        <v>-0.13306576103735723</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t="str">
        <f>IF(ISNUMBER((Datos!M12-Datos!W12)/Datos!W12),(Datos!M12-Datos!W12)/Datos!W12," - ")</f>
        <v xml:space="preserve"> - </v>
      </c>
      <c r="I12" s="350" t="str">
        <f>IF(ISNUMBER((Tasas!C12-Datos!BE12)/Datos!BE12),(Tasas!C12-Datos!BE12)/Datos!BE12," - ")</f>
        <v xml:space="preserve"> - </v>
      </c>
      <c r="J12" s="349" t="str">
        <f>IF(ISNUMBER((Tasas!D12-Datos!BF12)/Datos!BF12),(Tasas!D12-Datos!BF12)/Datos!BF12," - ")</f>
        <v xml:space="preserve"> - </v>
      </c>
      <c r="K12" s="351" t="str">
        <f>IF(ISNUMBER((Tasas!E12-Datos!BG12)/Datos!BG12),(Tasas!E12-Datos!BG12)/Datos!BG12," - ")</f>
        <v xml:space="preserve"> - </v>
      </c>
      <c r="M12" t="e">
        <f>IF(Monitorios="SI",Datos!CE12,0)</f>
        <v>#REF!</v>
      </c>
      <c r="N12" t="e">
        <f>IF(Monitorios="SI",Datos!CF12,0)</f>
        <v>#REF!</v>
      </c>
      <c r="O12" t="e">
        <f>IF(Monitorios="SI",Datos!CG12,0)</f>
        <v>#REF!</v>
      </c>
      <c r="P12" t="e">
        <f>IF(Monitorios="SI",Datos!CH12,0)</f>
        <v>#REF!</v>
      </c>
      <c r="Q12">
        <f>IF(J_V="SI",0,Datos!AG12)</f>
        <v>0</v>
      </c>
      <c r="R12">
        <f>IF(J_V="SI",0,Datos!AH12)</f>
        <v>0</v>
      </c>
      <c r="S12">
        <f>IF(J_V="SI",0,Datos!AI12)</f>
        <v>0</v>
      </c>
      <c r="T12">
        <f>IF(J_V="SI",0,Datos!AJ12)</f>
        <v>0</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0.39116379310344829</v>
      </c>
      <c r="I13" s="357">
        <f>IF(ISNUMBER((Tasas!C13-Datos!BE13)/Datos!BE13),(Tasas!C13-Datos!BE13)/Datos!BE13," - ")</f>
        <v>-0.46969643883743528</v>
      </c>
      <c r="J13" s="355">
        <f>IF(ISNUMBER((Tasas!D13-Datos!BF13)/Datos!BF13),(Tasas!D13-Datos!BF13)/Datos!BF13," - ")</f>
        <v>0.58910890481265565</v>
      </c>
      <c r="K13" s="358">
        <f>IF(ISNUMBER((Tasas!E13-Datos!BG13)/Datos!BG13),(Tasas!E13-Datos!BG13)/Datos!BG13," - ")</f>
        <v>-0.35408124029585064</v>
      </c>
      <c r="M13" t="e">
        <f>IF(Monitorios="SI",Datos!CE13,0)</f>
        <v>#REF!</v>
      </c>
      <c r="N13" t="e">
        <f>IF(Monitorios="SI",Datos!CF13,0)</f>
        <v>#REF!</v>
      </c>
      <c r="O13" t="e">
        <f>IF(Monitorios="SI",Datos!CG13,0)</f>
        <v>#REF!</v>
      </c>
      <c r="P13" t="e">
        <f>IF(Monitorios="SI",Datos!CH13,0)</f>
        <v>#REF!</v>
      </c>
      <c r="Q13">
        <f>IF(J_V="SI",0,Datos!AG13)</f>
        <v>296</v>
      </c>
      <c r="R13">
        <f>IF(J_V="SI",0,Datos!AH13)</f>
        <v>121</v>
      </c>
      <c r="S13">
        <f>IF(J_V="SI",0,Datos!AI13)</f>
        <v>116</v>
      </c>
      <c r="T13">
        <f>IF(J_V="SI",0,Datos!AJ13)</f>
        <v>301</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f>IF(ISNUMBER(
   IF(D_I="SI",(Datos!I15-Datos!S15)/Datos!S15,(Datos!I15+Datos!AC15-(Datos!S15+Datos!AK15))/(Datos!S15+Datos!AK15))
     ),IF(D_I="SI",(Datos!I15-Datos!S15)/Datos!S15,(Datos!I15+Datos!AC15-(Datos!S15+Datos!AK15))/(Datos!S15+Datos!AK15))," - ")</f>
        <v>0.37387387387387389</v>
      </c>
      <c r="E15" s="348">
        <f>IF(ISNUMBER(
   IF(D_I="SI",(Datos!J15-Datos!T15)/Datos!T15,(Datos!J15+Datos!AD15-(Datos!T15+Datos!AL15))/(Datos!T15+Datos!AL15))
     ),IF(D_I="SI",(Datos!J15-Datos!T15)/Datos!T15,(Datos!J15+Datos!AD15-(Datos!T15+Datos!AL15))/(Datos!T15+Datos!AL15))," - ")</f>
        <v>0.48361381753764393</v>
      </c>
      <c r="F15" s="348">
        <f>IF(ISNUMBER(
   IF(D_I="SI",(Datos!K15-Datos!U15)/Datos!U15,(Datos!K15+Datos!AE15-(Datos!U15+Datos!AM15))/(Datos!U15+Datos!AM15))
     ),IF(D_I="SI",(Datos!K15-Datos!U15)/Datos!U15,(Datos!K15+Datos!AE15-(Datos!U15+Datos!AM15))/(Datos!U15+Datos!AM15))," - ")</f>
        <v>0.74589371980676333</v>
      </c>
      <c r="G15" s="349">
        <f>IF(ISNUMBER(
   IF(D_I="SI",(Datos!L15-Datos!V15)/Datos!V15,(Datos!L15+Datos!AF15-(Datos!V15+Datos!AN15))/(Datos!V15+Datos!AN15))
     ),IF(D_I="SI",(Datos!L15-Datos!V15)/Datos!V15,(Datos!L15+Datos!AF15-(Datos!V15+Datos!AN15))/(Datos!V15+Datos!AN15))," - ")</f>
        <v>0.10953346855983773</v>
      </c>
      <c r="H15" s="230">
        <f>IF(ISNUMBER((Datos!M15-Datos!W15)/Datos!W15),(Datos!M15-Datos!W15)/Datos!W15," - ")</f>
        <v>1.0817610062893082</v>
      </c>
      <c r="I15" s="350">
        <f>IF(ISNUMBER((Tasas!C15-Datos!BE15)/Datos!BE15),(Tasas!C15-Datos!BE15)/Datos!BE15," - ")</f>
        <v>-0.3644896845824947</v>
      </c>
      <c r="J15" s="349">
        <f>IF(ISNUMBER((Tasas!D15-Datos!BF15)/Datos!BF15),(Tasas!D15-Datos!BF15)/Datos!BF15," - ")</f>
        <v>0.19237556253980839</v>
      </c>
      <c r="K15" s="351">
        <f>IF(ISNUMBER((Tasas!E15-Datos!BG15)/Datos!BG15),(Tasas!E15-Datos!BG15)/Datos!BG15," - ")</f>
        <v>-0.17789958567450601</v>
      </c>
    </row>
    <row r="16" spans="2:20" ht="14.25">
      <c r="B16" s="275" t="s">
        <v>396</v>
      </c>
      <c r="C16" s="7" t="str">
        <f>Datos!A16</f>
        <v xml:space="preserve">Jdos. 1ª Instª. e Instr.                        </v>
      </c>
      <c r="D16" s="352" t="str">
        <f>IF(ISNUMBER(
   IF(D_I="SI",(Datos!I16-Datos!S16)/Datos!S16,(Datos!I16+Datos!AC16-(Datos!S16+Datos!AK16))/(Datos!S16+Datos!AK16))
     ),IF(D_I="SI",(Datos!I16-Datos!S16)/Datos!S16,(Datos!I16+Datos!AC16-(Datos!S16+Datos!AK16))/(Datos!S16+Datos!AK16))," - ")</f>
        <v xml:space="preserve"> - </v>
      </c>
      <c r="E16" s="348" t="str">
        <f>IF(ISNUMBER(
   IF(D_I="SI",(Datos!J16-Datos!T16)/Datos!T16,(Datos!J16+Datos!AD16-(Datos!T16+Datos!AL16))/(Datos!T16+Datos!AL16))
     ),IF(D_I="SI",(Datos!J16-Datos!T16)/Datos!T16,(Datos!J16+Datos!AD16-(Datos!T16+Datos!AL16))/(Datos!T16+Datos!AL16))," - ")</f>
        <v xml:space="preserve"> - </v>
      </c>
      <c r="F16" s="348" t="str">
        <f>IF(ISNUMBER(
   IF(D_I="SI",(Datos!K16-Datos!U16)/Datos!U16,(Datos!K16+Datos!AE16-(Datos!U16+Datos!AM16))/(Datos!U16+Datos!AM16))
     ),IF(D_I="SI",(Datos!K16-Datos!U16)/Datos!U16,(Datos!K16+Datos!AE16-(Datos!U16+Datos!AM16))/(Datos!U16+Datos!AM16))," - ")</f>
        <v xml:space="preserve"> - </v>
      </c>
      <c r="G16" s="349" t="str">
        <f>IF(ISNUMBER(
   IF(D_I="SI",(Datos!L16-Datos!V16)/Datos!V16,(Datos!L16+Datos!AF16-(Datos!V16+Datos!AN16))/(Datos!V16+Datos!AN16))
     ),IF(D_I="SI",(Datos!L16-Datos!V16)/Datos!V16,(Datos!L16+Datos!AF16-(Datos!V16+Datos!AN16))/(Datos!V16+Datos!AN16))," - ")</f>
        <v xml:space="preserve"> - </v>
      </c>
      <c r="H16" s="230" t="str">
        <f>IF(ISNUMBER((Datos!M16-Datos!W16)/Datos!W16),(Datos!M16-Datos!W16)/Datos!W16," - ")</f>
        <v xml:space="preserve"> - </v>
      </c>
      <c r="I16" s="350" t="str">
        <f>IF(ISNUMBER((Tasas!C16-Datos!BE16)/Datos!BE16),(Tasas!C16-Datos!BE16)/Datos!BE16," - ")</f>
        <v xml:space="preserve"> - </v>
      </c>
      <c r="J16" s="349" t="str">
        <f>IF(ISNUMBER((Tasas!D16-Datos!BF16)/Datos!BF16),(Tasas!D16-Datos!BF16)/Datos!BF16," - ")</f>
        <v xml:space="preserve"> - </v>
      </c>
      <c r="K16" s="351" t="str">
        <f>IF(ISNUMBER((Tasas!E16-Datos!BG16)/Datos!BG16),(Tasas!E16-Datos!BG16)/Datos!BG16," - ")</f>
        <v xml:space="preserve"> - </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1.3953488372093023E-2</v>
      </c>
      <c r="E17" s="348">
        <f>IF(ISNUMBER(
   IF(D_I="SI",(Datos!J17-Datos!T17)/Datos!T17,(Datos!J17+Datos!AD17-(Datos!T17+Datos!AL17))/(Datos!T17+Datos!AL17))
     ),IF(D_I="SI",(Datos!J17-Datos!T17)/Datos!T17,(Datos!J17+Datos!AD17-(Datos!T17+Datos!AL17))/(Datos!T17+Datos!AL17))," - ")</f>
        <v>3</v>
      </c>
      <c r="F17" s="348">
        <f>IF(ISNUMBER(
   IF(D_I="SI",(Datos!K17-Datos!U17)/Datos!U17,(Datos!K17+Datos!AE17-(Datos!U17+Datos!AM17))/(Datos!U17+Datos!AM17))
     ),IF(D_I="SI",(Datos!K17-Datos!U17)/Datos!U17,(Datos!K17+Datos!AE17-(Datos!U17+Datos!AM17))/(Datos!U17+Datos!AM17))," - ")</f>
        <v>2.3040935672514622</v>
      </c>
      <c r="G17" s="349">
        <f>IF(ISNUMBER(
   IF(D_I="SI",(Datos!L17-Datos!V17)/Datos!V17,(Datos!L17+Datos!AF17-(Datos!V17+Datos!AN17))/(Datos!V17+Datos!AN17))
     ),IF(D_I="SI",(Datos!L17-Datos!V17)/Datos!V17,(Datos!L17+Datos!AF17-(Datos!V17+Datos!AN17))/(Datos!V17+Datos!AN17))," - ")</f>
        <v>-9.7560975609756097E-3</v>
      </c>
      <c r="H17" s="230">
        <f>IF(ISNUMBER((Datos!M17-Datos!W17)/Datos!W17),(Datos!M17-Datos!W17)/Datos!W17," - ")</f>
        <v>1.2941176470588236</v>
      </c>
      <c r="I17" s="350">
        <f>IF(ISNUMBER((Tasas!C17-Datos!BE17)/Datos!BE17),(Tasas!C17-Datos!BE17)/Datos!BE17," - ")</f>
        <v>-0.7002978631556227</v>
      </c>
      <c r="J17" s="349">
        <f>IF(ISNUMBER((Tasas!D17-Datos!BF17)/Datos!BF17),(Tasas!D17-Datos!BF17)/Datos!BF17," - ")</f>
        <v>-0.30567412805830296</v>
      </c>
      <c r="K17" s="351">
        <f>IF(ISNUMBER((Tasas!E17-Datos!BG17)/Datos!BG17),(Tasas!E17-Datos!BG17)/Datos!BG17," - ")</f>
        <v>-0.30614761815100727</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0.30371713508612874</v>
      </c>
      <c r="E18" s="354">
        <f>IF(ISNUMBER(
   IF(D_I="SI",(Datos!J18-Datos!T18)/Datos!T18,(Datos!J18+Datos!AD18-(Datos!T18+Datos!AL18))/(Datos!T18+Datos!AL18))
     ),IF(D_I="SI",(Datos!J18-Datos!T18)/Datos!T18,(Datos!J18+Datos!AD18-(Datos!T18+Datos!AL18))/(Datos!T18+Datos!AL18))," - ")</f>
        <v>0.79767441860465116</v>
      </c>
      <c r="F18" s="354">
        <f>IF(ISNUMBER(
   IF(D_I="SI",(Datos!K18-Datos!U18)/Datos!U18,(Datos!K18+Datos!AE18-(Datos!U18+Datos!AM18))/(Datos!U18+Datos!AM18))
     ),IF(D_I="SI",(Datos!K18-Datos!U18)/Datos!U18,(Datos!K18+Datos!AE18-(Datos!U18+Datos!AM18))/(Datos!U18+Datos!AM18))," - ")</f>
        <v>0.96683250414593702</v>
      </c>
      <c r="G18" s="355">
        <f>IF(ISNUMBER(
   IF(D_I="SI",(Datos!L18-Datos!V18)/Datos!V18,(Datos!L18+Datos!AF18-(Datos!V18+Datos!AN18))/(Datos!V18+Datos!AN18))
     ),IF(D_I="SI",(Datos!L18-Datos!V18)/Datos!V18,(Datos!L18+Datos!AF18-(Datos!V18+Datos!AN18))/(Datos!V18+Datos!AN18))," - ")</f>
        <v>8.9000839630562559E-2</v>
      </c>
      <c r="H18" s="356">
        <f>IF(ISNUMBER((Datos!M18-Datos!W18)/Datos!W18),(Datos!M18-Datos!W18)/Datos!W18," - ")</f>
        <v>1.1022727272727273</v>
      </c>
      <c r="I18" s="357">
        <f>IF(ISNUMBER((Tasas!C18-Datos!BE18)/Datos!BE18),(Tasas!C18-Datos!BE18)/Datos!BE18," - ")</f>
        <v>-0.44631744831599557</v>
      </c>
      <c r="J18" s="355">
        <f>IF(ISNUMBER((Tasas!D18-Datos!BF18)/Datos!BF18),(Tasas!D18-Datos!BF18)/Datos!BF18," - ")</f>
        <v>6.8862103326690238E-2</v>
      </c>
      <c r="K18" s="358">
        <f>IF(ISNUMBER((Tasas!E18-Datos!BG18)/Datos!BG18),(Tasas!E18-Datos!BG18)/Datos!BG18," - ")</f>
        <v>-0.20176435063200782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9.1422491406122117E-2</v>
      </c>
      <c r="E19" s="363">
        <f>IF(ISNUMBER(
   IF(J_V="SI",(Datos!J19-Datos!T19)/Datos!T19,(Datos!J19+Datos!Z19-(Datos!T19+Datos!AH19))/(Datos!T19+Datos!AH19))
     ),IF(J_V="SI",(Datos!J19-Datos!T19)/Datos!T19,(Datos!J19+Datos!Z19-(Datos!T19+Datos!AH19))/(Datos!T19+Datos!AH19))," - ")</f>
        <v>0.32154340836012862</v>
      </c>
      <c r="F19" s="363">
        <f>IF(ISNUMBER(
   IF(J_V="SI",(Datos!K19-Datos!U19)/Datos!U19,(Datos!K19+Datos!AA19-(Datos!U19+Datos!AI19))/(Datos!U19+Datos!AI19))
     ),IF(J_V="SI",(Datos!K19-Datos!U19)/Datos!U19,(Datos!K19+Datos!AA19-(Datos!U19+Datos!AI19))/(Datos!U19+Datos!AI19))," - ")</f>
        <v>0.76767362192463406</v>
      </c>
      <c r="G19" s="364">
        <f>IF(ISNUMBER(
   IF(J_V="SI",(Datos!L19-Datos!V19)/Datos!V19,(Datos!L19+Datos!AB19-(Datos!V19+Datos!AJ19))/(Datos!V19+Datos!AJ19))
     ),IF(J_V="SI",(Datos!L19-Datos!V19)/Datos!V19,(Datos!L19+Datos!AB19-(Datos!V19+Datos!AJ19))/(Datos!V19+Datos!AJ19))," - ")</f>
        <v>-0.10720614294152392</v>
      </c>
      <c r="H19" s="365">
        <f>IF(ISNUMBER((Datos!M19-Datos!W19)/Datos!W19),(Datos!M19-Datos!W19)/Datos!W19," - ")</f>
        <v>0.50452898550724634</v>
      </c>
      <c r="I19" s="362">
        <f>IF(ISNUMBER((Tasas!C19-Datos!BE19)/Datos!BE19),(Tasas!C19-Datos!BE19)/Datos!BE19," - ")</f>
        <v>-0.49493286204813836</v>
      </c>
      <c r="J19" s="363">
        <f>IF(ISNUMBER((Tasas!D19-Datos!BF19)/Datos!BF19),(Tasas!D19-Datos!BF19)/Datos!BF19," - ")</f>
        <v>0.40456367828878009</v>
      </c>
      <c r="K19" s="364">
        <f>IF(ISNUMBER((Tasas!E19-Datos!BG19)/Datos!BG19),(Tasas!E19-Datos!BG19)/Datos!BG19," - ")</f>
        <v>-0.35408835205854278</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0.15698556243488229</v>
      </c>
      <c r="E21" s="278">
        <f t="shared" si="1"/>
        <v>1.2302006460681576</v>
      </c>
      <c r="F21" s="278">
        <f t="shared" si="1"/>
        <v>0.80135463583171374</v>
      </c>
      <c r="G21" s="279">
        <f t="shared" si="1"/>
        <v>9.0736014230807294E-2</v>
      </c>
      <c r="H21" s="285">
        <f t="shared" si="1"/>
        <v>0.40297247121942759</v>
      </c>
      <c r="I21" s="277">
        <f t="shared" si="1"/>
        <v>0.16240907511552885</v>
      </c>
      <c r="J21" s="278">
        <f t="shared" si="1"/>
        <v>0.34703310904330192</v>
      </c>
      <c r="K21" s="279">
        <f t="shared" si="1"/>
        <v>9.6143317169385581E-2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XBIiMr2NHXWycaeyE6Iha2Zaopc8gQNUJklWuDgO0SEVCzqmfgyKUdKc/njVv+E7n+oxHK1hZmdpQqihXydzlg==" saltValue="7IJLKAiNr9K9HgLvvJM6r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ANDALUCIA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6</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f>IF(ISNUMBER(NºAsuntos!I9/NºAsuntos!G9),(NºAsuntos!I9/NºAsuntos!G9)*11," - ")</f>
        <v>36.178976402083975</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66</v>
      </c>
      <c r="D10" s="225">
        <f>IF(ISNUMBER(Datos!I10),Datos!I10," - ")</f>
        <v>66</v>
      </c>
      <c r="E10" s="226">
        <f>IF(ISNUMBER(Datos!J10),Datos!J10," - ")</f>
        <v>38</v>
      </c>
      <c r="F10" s="226">
        <f>IF(ISNUMBER(Datos!K10),Datos!K10," - ")</f>
        <v>41</v>
      </c>
      <c r="G10" s="1034" t="str">
        <f>IF(Datos!E10&lt;&gt;"",Datos!E10,Datos!D10)</f>
        <v>37</v>
      </c>
      <c r="H10" s="227">
        <f>IF(ISNUMBER(Datos!L10),Datos!L10," - ")</f>
        <v>63</v>
      </c>
      <c r="I10" s="1044" t="str">
        <f>IF(ISNUMBER(Datos!AS10/Datos!BM10),Datos!AS10/Datos!BM10," - ")</f>
        <v xml:space="preserve"> - </v>
      </c>
      <c r="J10" s="1045">
        <f>IF(ISNUMBER(Datos!BY10/Datos!CN10),Datos!BY10/Datos!CN10," - ")</f>
        <v>0</v>
      </c>
      <c r="K10" s="230">
        <f t="shared" ref="K10:K12" si="1">IF(ISNUMBER((E10-F10)/C10),(E10-F10)/C10," - ")</f>
        <v>-4.5454545454545456E-2</v>
      </c>
      <c r="L10" s="1025">
        <f>IF(ISNUMBER(NºAsuntos!I10/NºAsuntos!G10),(NºAsuntos!I10/NºAsuntos!G10)*11," - ")</f>
        <v>16.902439024390244</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0</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t="str">
        <f>IF(ISNUMBER(NºAsuntos!I12/NºAsuntos!G12),(NºAsuntos!I12/NºAsuntos!G12)*11," - ")</f>
        <v xml:space="preserve"> - </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66</v>
      </c>
      <c r="D13" s="1049">
        <f>SUBTOTAL(9,D9:D12)</f>
        <v>66</v>
      </c>
      <c r="E13" s="1050">
        <f>SUBTOTAL(9,E9:E12)</f>
        <v>38</v>
      </c>
      <c r="F13" s="1051">
        <f>SUBTOTAL(9,F9:F12)</f>
        <v>41</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4</v>
      </c>
      <c r="B15" s="502" t="str">
        <f>Datos!A15</f>
        <v xml:space="preserve">Jdos. Instrucción                               </v>
      </c>
      <c r="C15" s="225">
        <f t="shared" ref="C15:C17" si="2">IF(ISNUMBER(H15-E15+F15),H15-E15+F15," - ")</f>
        <v>1226</v>
      </c>
      <c r="D15" s="225">
        <f>IF(ISNUMBER(IF(D_I="SI",Datos!I15,Datos!I15+Datos!AC15)),IF(D_I="SI",Datos!I15,Datos!I15+Datos!AC15)," - ")</f>
        <v>1220</v>
      </c>
      <c r="E15" s="226">
        <f>IF(ISNUMBER(IF(D_I="SI",Datos!J15,Datos!J15+Datos!AD15)),IF(D_I="SI",Datos!J15,Datos!J15+Datos!AD15)," - ")</f>
        <v>1675</v>
      </c>
      <c r="F15" s="226">
        <f>IF(ISNUMBER(IF(D_I="SI",Datos!K15,Datos!K15+Datos!AE15)),IF(D_I="SI",Datos!K15,Datos!K15+Datos!AE15)," - ")</f>
        <v>1807</v>
      </c>
      <c r="G15" s="1034" t="str">
        <f>IF(Datos!E15&lt;&gt;"",Datos!E15,Datos!D15)</f>
        <v>03</v>
      </c>
      <c r="H15" s="227">
        <f>IF(ISNUMBER(IF(D_I="SI",Datos!L15,Datos!L15+Datos!AF15)),IF(D_I="SI",Datos!L15,Datos!L15+Datos!AF15)," - ")</f>
        <v>1094</v>
      </c>
      <c r="I15" s="1044" t="str">
        <f>IF(ISNUMBER(Datos!AS15/Datos!BM15),Datos!AS15/Datos!BM15," - ")</f>
        <v xml:space="preserve"> - </v>
      </c>
      <c r="J15" s="1045">
        <f>IF(ISNUMBER(Datos!BY15/Datos!CN15),Datos!BY15/Datos!CN15," - ")</f>
        <v>0</v>
      </c>
      <c r="K15" s="230">
        <f t="shared" ref="K15:K17" si="3">IF(ISNUMBER((E15-F15)/C15),(E15-F15)/C15," - ")</f>
        <v>-0.10766721044045677</v>
      </c>
      <c r="L15" s="1025">
        <f>IF(ISNUMBER(NºAsuntos!I15/NºAsuntos!G15),(NºAsuntos!I15/NºAsuntos!G15)*11," - ")</f>
        <v>6.6596568898727178</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0</v>
      </c>
      <c r="B16" s="502" t="str">
        <f>Datos!A16</f>
        <v xml:space="preserve">Jdos. 1ª Instª. e Instr.                        </v>
      </c>
      <c r="C16" s="225" t="str">
        <f t="shared" si="2"/>
        <v xml:space="preserve"> - </v>
      </c>
      <c r="D16" s="225" t="str">
        <f>IF(ISNUMBER(IF(D_I="SI",Datos!I16,Datos!I16+Datos!AC16)),IF(D_I="SI",Datos!I16,Datos!I16+Datos!AC16)," - ")</f>
        <v xml:space="preserve"> - </v>
      </c>
      <c r="E16" s="226" t="str">
        <f>IF(ISNUMBER(IF(D_I="SI",Datos!J16,Datos!J16+Datos!AD16)),IF(D_I="SI",Datos!J16,Datos!J16+Datos!AD16)," - ")</f>
        <v xml:space="preserve"> - </v>
      </c>
      <c r="F16" s="226" t="str">
        <f>IF(ISNUMBER(IF(D_I="SI",Datos!K16,Datos!K16+Datos!AE16)),IF(D_I="SI",Datos!K16,Datos!K16+Datos!AE16)," - ")</f>
        <v xml:space="preserve"> - </v>
      </c>
      <c r="G16" s="1034" t="str">
        <f>IF(Datos!E16&lt;&gt;"",Datos!E16,Datos!D16)</f>
        <v>04</v>
      </c>
      <c r="H16" s="227" t="str">
        <f>IF(ISNUMBER(IF(D_I="SI",Datos!L16,Datos!L16+Datos!AF16)),IF(D_I="SI",Datos!L16,Datos!L16+Datos!AF16)," - ")</f>
        <v xml:space="preserve"> - </v>
      </c>
      <c r="I16" s="1044" t="str">
        <f>IF(ISNUMBER(Datos!AS16/Datos!BM16),Datos!AS16/Datos!BM16," - ")</f>
        <v xml:space="preserve"> - </v>
      </c>
      <c r="J16" s="1045">
        <f>IF(ISNUMBER(Datos!BY16/Datos!CN16),Datos!BY16/Datos!CN16," - ")</f>
        <v>0</v>
      </c>
      <c r="K16" s="230" t="str">
        <f t="shared" si="3"/>
        <v xml:space="preserve"> - </v>
      </c>
      <c r="L16" s="1025" t="str">
        <f>IF(ISNUMBER(NºAsuntos!I16/NºAsuntos!G16),(NºAsuntos!I16/NºAsuntos!G16)*11," - ")</f>
        <v xml:space="preserve"> - </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124</v>
      </c>
      <c r="D17" s="225">
        <f>IF(ISNUMBER(IF(D_I="SI",Datos!I17,Datos!I17+Datos!AC17)),IF(D_I="SI",Datos!I17,Datos!I17+Datos!AC17)," - ")</f>
        <v>218</v>
      </c>
      <c r="E17" s="226">
        <f>IF(ISNUMBER(IF(D_I="SI",Datos!J17,Datos!J17+Datos!AD17)),IF(D_I="SI",Datos!J17,Datos!J17+Datos!AD17)," - ")</f>
        <v>644</v>
      </c>
      <c r="F17" s="226">
        <f>IF(ISNUMBER(IF(D_I="SI",Datos!K17,Datos!K17+Datos!AE17)),IF(D_I="SI",Datos!K17,Datos!K17+Datos!AE17)," - ")</f>
        <v>565</v>
      </c>
      <c r="G17" s="1034" t="str">
        <f>IF(Datos!E17&lt;&gt;"",Datos!E17,Datos!D17)</f>
        <v>37</v>
      </c>
      <c r="H17" s="227">
        <f>IF(ISNUMBER(IF(D_I="SI",Datos!L17,Datos!L17+Datos!AF17)),IF(D_I="SI",Datos!L17,Datos!L17+Datos!AF17)," - ")</f>
        <v>203</v>
      </c>
      <c r="I17" s="1044" t="str">
        <f>IF(ISNUMBER(Datos!AS17/Datos!BM17),Datos!AS17/Datos!BM17," - ")</f>
        <v xml:space="preserve"> - </v>
      </c>
      <c r="J17" s="1045" t="str">
        <f>IF(ISNUMBER((Datos!BY17+Datos!BZ17)/Datos!CN17),(Datos!BY17+Datos!BZ17)/Datos!CN17," - ")</f>
        <v xml:space="preserve"> - </v>
      </c>
      <c r="K17" s="230">
        <f t="shared" si="3"/>
        <v>0.63709677419354838</v>
      </c>
      <c r="L17" s="1025">
        <f>IF(ISNUMBER(NºAsuntos!I17/NºAsuntos!G17),(NºAsuntos!I17/NºAsuntos!G17)*11," - ")</f>
        <v>3.9522123893805308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1350</v>
      </c>
      <c r="D18" s="1049">
        <f>SUBTOTAL(9,D15:D17)</f>
        <v>1438</v>
      </c>
      <c r="E18" s="1050">
        <f>SUBTOTAL(9,E15:E17)</f>
        <v>2319</v>
      </c>
      <c r="F18" s="1050">
        <f>SUBTOTAL(9,F15:F17)</f>
        <v>2372</v>
      </c>
      <c r="G18" s="1052" t="str">
        <f ca="1">INDIRECT(CONCATENATE("G",ROW()-1))</f>
        <v>37</v>
      </c>
      <c r="H18" s="1053">
        <f ca="1">SUMIF(G$14:G17,G18,H$14:H17)</f>
        <v>203</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1416</v>
      </c>
      <c r="D19" s="1071">
        <f>SUBTOTAL(9,D9:D18)</f>
        <v>1504</v>
      </c>
      <c r="E19" s="1072">
        <f>SUBTOTAL(9,E9:E18)</f>
        <v>2357</v>
      </c>
      <c r="F19" s="1072">
        <f>SUBTOTAL(9,F9:F18)</f>
        <v>2413</v>
      </c>
      <c r="G19" s="1073"/>
      <c r="H19" s="1074">
        <f ca="1">SUMIF(B9:B18,"TOTAL",H9:H18)</f>
        <v>203</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fSnh+1cbTlJ6hXbYJyga2ifon63f8v9dhGwtnvF+KNqrV72OQG5b1jXmF+kQmQiBfSr4ESGilsSYkJb0Y7RCYw==" saltValue="NViDV6VsgCUeizBtN7/it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iCS72VbGrNLrXqNhqPpRnWvhC9cO5boDZ6rvv1tNhOpj/B4Szp3QzYdy6iRb1AnkZrYHmna6hc8/+KudHhUZrw==" saltValue="V17ae0vXpFjxc+xG8bRKm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v>11515</v>
      </c>
      <c r="J9" s="181">
        <v>2016</v>
      </c>
      <c r="K9" s="181">
        <v>3121</v>
      </c>
      <c r="L9" s="181">
        <v>10410</v>
      </c>
      <c r="M9" s="181">
        <v>1276</v>
      </c>
      <c r="N9" s="181">
        <v>1052</v>
      </c>
      <c r="O9" s="181">
        <v>1153</v>
      </c>
      <c r="P9" s="181">
        <v>584</v>
      </c>
      <c r="Q9" s="181">
        <v>356</v>
      </c>
      <c r="R9" s="181">
        <v>8737</v>
      </c>
      <c r="S9" s="181">
        <v>10767</v>
      </c>
      <c r="T9" s="181">
        <v>1983</v>
      </c>
      <c r="U9" s="181">
        <v>1862</v>
      </c>
      <c r="V9" s="181">
        <v>12000</v>
      </c>
      <c r="W9" s="181">
        <v>921</v>
      </c>
      <c r="X9" s="188">
        <v>486</v>
      </c>
      <c r="Y9" s="191">
        <v>316</v>
      </c>
      <c r="Z9" s="181">
        <v>148</v>
      </c>
      <c r="AA9" s="181">
        <v>142</v>
      </c>
      <c r="AB9" s="181">
        <v>322</v>
      </c>
      <c r="AC9" s="181">
        <v>0</v>
      </c>
      <c r="AD9" s="181">
        <v>0</v>
      </c>
      <c r="AE9" s="181">
        <v>0</v>
      </c>
      <c r="AF9" s="188">
        <v>0</v>
      </c>
      <c r="AG9" s="191">
        <v>296</v>
      </c>
      <c r="AH9" s="181">
        <v>121</v>
      </c>
      <c r="AI9" s="181">
        <v>116</v>
      </c>
      <c r="AJ9" s="192">
        <v>301</v>
      </c>
      <c r="AK9" s="180">
        <v>0</v>
      </c>
      <c r="AL9" s="181">
        <v>0</v>
      </c>
      <c r="AM9" s="181">
        <v>0</v>
      </c>
      <c r="AN9" s="188">
        <v>0</v>
      </c>
      <c r="AO9" s="258">
        <v>6</v>
      </c>
      <c r="AP9" s="154">
        <v>6</v>
      </c>
      <c r="AQ9" s="154">
        <v>6</v>
      </c>
      <c r="AR9" s="193">
        <v>6</v>
      </c>
      <c r="AS9" s="338" t="s">
        <v>799</v>
      </c>
      <c r="AT9" s="195"/>
      <c r="AU9" s="194"/>
      <c r="AV9" s="195"/>
      <c r="AW9" s="194"/>
      <c r="AX9" s="195"/>
      <c r="AY9" s="123">
        <f>IF(ISNUMBER(IF(J_V="SI",S9,S9+AG9)),IF(J_V="SI",S9,S9+AG9)," - ")</f>
        <v>11063</v>
      </c>
      <c r="AZ9" s="123">
        <f>IF(ISNUMBER(IF(J_V="SI",T9,T9+AH9)),IF(J_V="SI",T9,T9+AH9)," - ")</f>
        <v>2104</v>
      </c>
      <c r="BA9" s="124">
        <f>IF(ISNUMBER(IF(J_V="SI",U9,U9+AI9)),IF(J_V="SI",U9,U9+AI9)," - ")</f>
        <v>1978</v>
      </c>
      <c r="BB9" s="124">
        <f>IF(ISNUMBER(IF(J_V="SI",V9,V9+AJ9)),IF(J_V="SI",V9,V9+AJ9)," - ")</f>
        <v>12301</v>
      </c>
      <c r="BC9" s="125">
        <f>IF(ISNUMBER(X9),X9," - ")</f>
        <v>486</v>
      </c>
      <c r="BD9" s="126">
        <f>IF(ISNUMBER(BA9/AZ9),BA9/AZ9," - ")</f>
        <v>0.9401140684410646</v>
      </c>
      <c r="BE9" s="127">
        <f>IF(ISNUMBER(BB9/BA9),BB9/BA9, " - ")</f>
        <v>6.2189079878665314</v>
      </c>
      <c r="BF9" s="127">
        <f>IF(ISNUMBER(BC9/BA9),BC9/BA9, " - ")</f>
        <v>0.24570273003033366</v>
      </c>
      <c r="BG9" s="196">
        <f>IF(ISNUMBER((AY9+AZ9)/BA9),(AY9+AZ9)/BA9," - ")</f>
        <v>6.6567239635995952</v>
      </c>
      <c r="BH9" s="154">
        <v>6</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66</v>
      </c>
      <c r="J10" s="181">
        <v>38</v>
      </c>
      <c r="K10" s="181">
        <v>41</v>
      </c>
      <c r="L10" s="181">
        <v>63</v>
      </c>
      <c r="M10" s="181">
        <v>15</v>
      </c>
      <c r="N10" s="181">
        <v>20</v>
      </c>
      <c r="O10" s="181">
        <v>9</v>
      </c>
      <c r="P10" s="181">
        <v>6</v>
      </c>
      <c r="Q10" s="181">
        <v>4</v>
      </c>
      <c r="R10" s="181">
        <v>40</v>
      </c>
      <c r="S10" s="181">
        <v>52</v>
      </c>
      <c r="T10" s="181">
        <v>27</v>
      </c>
      <c r="U10" s="181">
        <v>27</v>
      </c>
      <c r="V10" s="181">
        <v>52</v>
      </c>
      <c r="W10" s="181">
        <v>7</v>
      </c>
      <c r="X10" s="188">
        <v>5</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1</v>
      </c>
      <c r="AQ10" s="154">
        <v>1</v>
      </c>
      <c r="AR10" s="155">
        <v>1</v>
      </c>
      <c r="AS10" s="339" t="s">
        <v>793</v>
      </c>
      <c r="AT10" s="192"/>
      <c r="AU10" s="200"/>
      <c r="AV10" s="192"/>
      <c r="AW10" s="200"/>
      <c r="AX10" s="192"/>
      <c r="AY10" s="128">
        <f t="shared" ref="AY10:BC10" si="0">IF(ISNUMBER(S10),S10," - ")</f>
        <v>52</v>
      </c>
      <c r="AZ10" s="129">
        <f t="shared" si="0"/>
        <v>27</v>
      </c>
      <c r="BA10" s="129">
        <f t="shared" si="0"/>
        <v>27</v>
      </c>
      <c r="BB10" s="129">
        <f t="shared" si="0"/>
        <v>52</v>
      </c>
      <c r="BC10" s="125">
        <f t="shared" si="0"/>
        <v>7</v>
      </c>
      <c r="BD10" s="126">
        <f>IF(ISNUMBER(BA10/AZ10),BA10/AZ10," - ")</f>
        <v>1</v>
      </c>
      <c r="BE10" s="127">
        <f>IF(ISNUMBER(BB10/BA10),BB10/BA10, " - ")</f>
        <v>1.9259259259259258</v>
      </c>
      <c r="BF10" s="127">
        <f>IF(ISNUMBER(BC10/BA10),BC10/BA10, " - ")</f>
        <v>0.25925925925925924</v>
      </c>
      <c r="BG10" s="196">
        <f>IF(ISNUMBER((AY10+AZ10)/BA10),(AY10+AZ10)/BA10," - ")</f>
        <v>2.925925925925926</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t="s">
        <v>806</v>
      </c>
      <c r="J12" s="183" t="s">
        <v>800</v>
      </c>
      <c r="K12" s="183" t="s">
        <v>849</v>
      </c>
      <c r="L12" s="183" t="s">
        <v>811</v>
      </c>
      <c r="M12" s="183" t="s">
        <v>490</v>
      </c>
      <c r="N12" s="183" t="s">
        <v>505</v>
      </c>
      <c r="O12" s="181" t="s">
        <v>224</v>
      </c>
      <c r="P12" s="183" t="s">
        <v>39</v>
      </c>
      <c r="Q12" s="183" t="s">
        <v>40</v>
      </c>
      <c r="R12" s="183" t="s">
        <v>91</v>
      </c>
      <c r="S12" s="183"/>
      <c r="T12" s="183"/>
      <c r="U12" s="183"/>
      <c r="V12" s="183"/>
      <c r="W12" s="183"/>
      <c r="X12" s="189"/>
      <c r="Y12" s="191" t="s">
        <v>134</v>
      </c>
      <c r="Z12" s="181" t="s">
        <v>135</v>
      </c>
      <c r="AA12" s="181" t="s">
        <v>136</v>
      </c>
      <c r="AB12" s="181" t="s">
        <v>137</v>
      </c>
      <c r="AC12" s="183"/>
      <c r="AD12" s="183"/>
      <c r="AE12" s="183"/>
      <c r="AF12" s="189"/>
      <c r="AG12" s="202"/>
      <c r="AH12" s="183"/>
      <c r="AI12" s="183"/>
      <c r="AJ12" s="203"/>
      <c r="AK12" s="182"/>
      <c r="AL12" s="183"/>
      <c r="AM12" s="183"/>
      <c r="AN12" s="189"/>
      <c r="AO12" s="259">
        <v>0</v>
      </c>
      <c r="AP12" s="155">
        <v>0</v>
      </c>
      <c r="AQ12" s="155">
        <v>0</v>
      </c>
      <c r="AR12" s="154">
        <v>0</v>
      </c>
      <c r="AS12" s="340" t="s">
        <v>802</v>
      </c>
      <c r="AT12" s="203"/>
      <c r="AU12" s="202"/>
      <c r="AV12" s="203"/>
      <c r="AW12" s="202"/>
      <c r="AX12" s="203"/>
      <c r="AY12" s="126">
        <f t="shared" si="1"/>
        <v>0</v>
      </c>
      <c r="AZ12" s="127">
        <f t="shared" si="1"/>
        <v>0</v>
      </c>
      <c r="BA12" s="127">
        <f t="shared" si="1"/>
        <v>0</v>
      </c>
      <c r="BB12" s="127">
        <f t="shared" si="1"/>
        <v>0</v>
      </c>
      <c r="BC12" s="125" t="str">
        <f>IF(ISNUMBER(X12),X12," - ")</f>
        <v xml:space="preserve"> - </v>
      </c>
      <c r="BD12" s="126" t="str">
        <f t="shared" si="2"/>
        <v xml:space="preserve"> - </v>
      </c>
      <c r="BE12" s="127" t="str">
        <f t="shared" si="3"/>
        <v xml:space="preserve"> - </v>
      </c>
      <c r="BF12" s="127" t="str">
        <f t="shared" si="4"/>
        <v xml:space="preserve"> - </v>
      </c>
      <c r="BG12" s="196" t="str">
        <f t="shared" si="5"/>
        <v xml:space="preserve"> - </v>
      </c>
      <c r="BH12" s="155">
        <v>0</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11581</v>
      </c>
      <c r="J13" s="184">
        <f t="shared" si="6"/>
        <v>2054</v>
      </c>
      <c r="K13" s="184">
        <f t="shared" si="6"/>
        <v>3162</v>
      </c>
      <c r="L13" s="184">
        <f t="shared" si="6"/>
        <v>10473</v>
      </c>
      <c r="M13" s="184">
        <f t="shared" si="6"/>
        <v>1291</v>
      </c>
      <c r="N13" s="184">
        <f t="shared" si="6"/>
        <v>1072</v>
      </c>
      <c r="O13" s="184">
        <f t="shared" si="6"/>
        <v>1162</v>
      </c>
      <c r="P13" s="184">
        <f t="shared" si="6"/>
        <v>590</v>
      </c>
      <c r="Q13" s="184">
        <f t="shared" si="6"/>
        <v>360</v>
      </c>
      <c r="R13" s="184">
        <f t="shared" si="6"/>
        <v>8777</v>
      </c>
      <c r="S13" s="184">
        <f t="shared" si="6"/>
        <v>10819</v>
      </c>
      <c r="T13" s="184">
        <f t="shared" si="6"/>
        <v>2010</v>
      </c>
      <c r="U13" s="184">
        <f t="shared" si="6"/>
        <v>1889</v>
      </c>
      <c r="V13" s="184">
        <f t="shared" si="6"/>
        <v>12052</v>
      </c>
      <c r="W13" s="184">
        <f t="shared" si="6"/>
        <v>928</v>
      </c>
      <c r="X13" s="184">
        <f t="shared" si="6"/>
        <v>491</v>
      </c>
      <c r="Y13" s="184">
        <f t="shared" si="6"/>
        <v>316</v>
      </c>
      <c r="Z13" s="184">
        <f t="shared" si="6"/>
        <v>148</v>
      </c>
      <c r="AA13" s="184">
        <f t="shared" si="6"/>
        <v>142</v>
      </c>
      <c r="AB13" s="184">
        <f t="shared" si="6"/>
        <v>322</v>
      </c>
      <c r="AC13" s="184">
        <f t="shared" si="6"/>
        <v>0</v>
      </c>
      <c r="AD13" s="184">
        <f t="shared" si="6"/>
        <v>0</v>
      </c>
      <c r="AE13" s="184">
        <f t="shared" si="6"/>
        <v>0</v>
      </c>
      <c r="AF13" s="184">
        <f>SUBTOTAL(9,AF9:AF12)</f>
        <v>0</v>
      </c>
      <c r="AG13" s="184">
        <f t="shared" ref="AG13:AT13" si="7">SUBTOTAL(9,AG8:AG12)</f>
        <v>296</v>
      </c>
      <c r="AH13" s="184">
        <f t="shared" si="7"/>
        <v>121</v>
      </c>
      <c r="AI13" s="184">
        <f t="shared" si="7"/>
        <v>116</v>
      </c>
      <c r="AJ13" s="184">
        <f t="shared" si="7"/>
        <v>301</v>
      </c>
      <c r="AK13" s="184">
        <f t="shared" si="7"/>
        <v>0</v>
      </c>
      <c r="AL13" s="184">
        <f t="shared" si="7"/>
        <v>0</v>
      </c>
      <c r="AM13" s="184">
        <f t="shared" si="7"/>
        <v>0</v>
      </c>
      <c r="AN13" s="184">
        <f t="shared" si="7"/>
        <v>0</v>
      </c>
      <c r="AO13" s="184">
        <f t="shared" si="7"/>
        <v>7</v>
      </c>
      <c r="AP13" s="184">
        <f t="shared" si="7"/>
        <v>7</v>
      </c>
      <c r="AQ13" s="184">
        <f t="shared" si="7"/>
        <v>7</v>
      </c>
      <c r="AR13" s="184">
        <f t="shared" si="7"/>
        <v>7</v>
      </c>
      <c r="AS13" s="184">
        <f t="shared" si="7"/>
        <v>0</v>
      </c>
      <c r="AT13" s="184">
        <f t="shared" si="7"/>
        <v>0</v>
      </c>
      <c r="AU13" s="204"/>
      <c r="AV13" s="132"/>
      <c r="AW13" s="204"/>
      <c r="AX13" s="132"/>
      <c r="AY13" s="184">
        <f>SUBTOTAL(9,AY8:AY12)</f>
        <v>11115</v>
      </c>
      <c r="AZ13" s="184">
        <f>SUBTOTAL(9,AZ8:AZ12)</f>
        <v>2131</v>
      </c>
      <c r="BA13" s="184">
        <f>SUBTOTAL(9,BA8:BA12)</f>
        <v>2005</v>
      </c>
      <c r="BB13" s="184">
        <f>SUBTOTAL(9,BB8:BB12)</f>
        <v>12353</v>
      </c>
      <c r="BC13" s="184">
        <f>SUBTOTAL(9,BC8:BC12)</f>
        <v>493</v>
      </c>
      <c r="BD13" s="205">
        <f>IF(ISNUMBER(BA13/AZ13),BA13/AZ13," - ")</f>
        <v>0.94087282965743779</v>
      </c>
      <c r="BE13" s="206">
        <f>IF(ISNUMBER(BB13/BA13),BB13/BA13, " - ")</f>
        <v>6.1610972568578557</v>
      </c>
      <c r="BF13" s="206">
        <f>IF(ISNUMBER(BC13/BA13),BC13/BA13, " - ")</f>
        <v>0.24588528678304239</v>
      </c>
      <c r="BG13" s="207">
        <f>IF(ISNUMBER((AY13+AZ13)/BA13),(AY13+AZ13)/BA13," - ")</f>
        <v>6.6064837905236908</v>
      </c>
      <c r="BH13" s="140">
        <f>SUBTOTAL(9,BH8:BH12)</f>
        <v>7</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v>1220</v>
      </c>
      <c r="J15" s="183">
        <v>1675</v>
      </c>
      <c r="K15" s="183">
        <v>1807</v>
      </c>
      <c r="L15" s="183">
        <v>1094</v>
      </c>
      <c r="M15" s="183">
        <v>331</v>
      </c>
      <c r="N15" s="183">
        <v>1052</v>
      </c>
      <c r="O15" s="181">
        <v>70</v>
      </c>
      <c r="P15" s="183">
        <v>138</v>
      </c>
      <c r="Q15" s="183">
        <v>148</v>
      </c>
      <c r="R15" s="183">
        <v>237</v>
      </c>
      <c r="S15" s="183">
        <v>888</v>
      </c>
      <c r="T15" s="183">
        <v>1129</v>
      </c>
      <c r="U15" s="183">
        <v>1035</v>
      </c>
      <c r="V15" s="183">
        <v>986</v>
      </c>
      <c r="W15" s="183">
        <v>159</v>
      </c>
      <c r="X15" s="189">
        <v>629</v>
      </c>
      <c r="Y15" s="202">
        <v>0</v>
      </c>
      <c r="Z15" s="183">
        <v>0</v>
      </c>
      <c r="AA15" s="183">
        <v>0</v>
      </c>
      <c r="AB15" s="183">
        <v>0</v>
      </c>
      <c r="AC15" s="183">
        <v>0</v>
      </c>
      <c r="AD15" s="183">
        <v>82</v>
      </c>
      <c r="AE15" s="183">
        <v>82</v>
      </c>
      <c r="AF15" s="189">
        <v>0</v>
      </c>
      <c r="AG15" s="202">
        <v>0</v>
      </c>
      <c r="AH15" s="183">
        <v>0</v>
      </c>
      <c r="AI15" s="183">
        <v>0</v>
      </c>
      <c r="AJ15" s="203">
        <v>0</v>
      </c>
      <c r="AK15" s="182">
        <v>0</v>
      </c>
      <c r="AL15" s="183">
        <v>65</v>
      </c>
      <c r="AM15" s="183">
        <v>65</v>
      </c>
      <c r="AN15" s="189">
        <v>0</v>
      </c>
      <c r="AO15" s="259">
        <v>4</v>
      </c>
      <c r="AP15" s="155">
        <v>4</v>
      </c>
      <c r="AQ15" s="155">
        <v>4</v>
      </c>
      <c r="AR15" s="155">
        <v>4</v>
      </c>
      <c r="AS15" s="340" t="s">
        <v>527</v>
      </c>
      <c r="AT15" s="203" t="s">
        <v>326</v>
      </c>
      <c r="AU15" s="202"/>
      <c r="AV15" s="203"/>
      <c r="AW15" s="202"/>
      <c r="AX15" s="203"/>
      <c r="AY15" s="128">
        <f t="shared" ref="AY15:BB16" si="9">IF(ISNUMBER(IF(D_I="SI",S15,S15+AK15)),IF(D_I="SI",S15,S15+AK15)," - ")</f>
        <v>888</v>
      </c>
      <c r="AZ15" s="129">
        <f t="shared" si="9"/>
        <v>1129</v>
      </c>
      <c r="BA15" s="129">
        <f t="shared" si="9"/>
        <v>1035</v>
      </c>
      <c r="BB15" s="129">
        <f t="shared" si="9"/>
        <v>986</v>
      </c>
      <c r="BC15" s="125">
        <f>IF(ISNUMBER(W15),W15," - ")</f>
        <v>159</v>
      </c>
      <c r="BD15" s="126">
        <f>IF(ISNUMBER(BA15/AZ15),BA15/AZ15," - ")</f>
        <v>0.91674047829937999</v>
      </c>
      <c r="BE15" s="127">
        <f>IF(ISNUMBER(BB15/BA15),BB15/BA15, " - ")</f>
        <v>0.95265700483091786</v>
      </c>
      <c r="BF15" s="127">
        <f>IF(ISNUMBER(BC15/BA15),BC15/BA15, " - ")</f>
        <v>0.15362318840579711</v>
      </c>
      <c r="BG15" s="196">
        <f t="shared" ref="BG15:BG16" si="10">IF(ISNUMBER((AY15+AZ15)/BA15),(AY15+AZ15)/BA15," - ")</f>
        <v>1.9487922705314009</v>
      </c>
      <c r="BH15" s="155">
        <v>4</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t="s">
        <v>488</v>
      </c>
      <c r="J16" s="183" t="s">
        <v>484</v>
      </c>
      <c r="K16" s="183" t="s">
        <v>485</v>
      </c>
      <c r="L16" s="183" t="s">
        <v>486</v>
      </c>
      <c r="M16" s="183" t="s">
        <v>491</v>
      </c>
      <c r="N16" s="183" t="s">
        <v>150</v>
      </c>
      <c r="O16" s="181" t="s">
        <v>225</v>
      </c>
      <c r="P16" s="183" t="s">
        <v>470</v>
      </c>
      <c r="Q16" s="183" t="s">
        <v>471</v>
      </c>
      <c r="R16" s="183" t="s">
        <v>472</v>
      </c>
      <c r="S16" s="183"/>
      <c r="T16" s="183"/>
      <c r="U16" s="183"/>
      <c r="V16" s="183"/>
      <c r="W16" s="183"/>
      <c r="X16" s="189"/>
      <c r="Y16" s="202"/>
      <c r="Z16" s="183"/>
      <c r="AA16" s="183"/>
      <c r="AB16" s="183"/>
      <c r="AC16" s="183" t="s">
        <v>44</v>
      </c>
      <c r="AD16" s="183" t="s">
        <v>48</v>
      </c>
      <c r="AE16" s="183" t="s">
        <v>49</v>
      </c>
      <c r="AF16" s="189" t="s">
        <v>50</v>
      </c>
      <c r="AG16" s="202"/>
      <c r="AH16" s="183"/>
      <c r="AI16" s="183"/>
      <c r="AJ16" s="203"/>
      <c r="AK16" s="182"/>
      <c r="AL16" s="183"/>
      <c r="AM16" s="183"/>
      <c r="AN16" s="189"/>
      <c r="AO16" s="259">
        <v>0</v>
      </c>
      <c r="AP16" s="155">
        <v>0</v>
      </c>
      <c r="AQ16" s="155">
        <v>0</v>
      </c>
      <c r="AR16" s="155">
        <v>0</v>
      </c>
      <c r="AS16" s="340" t="s">
        <v>487</v>
      </c>
      <c r="AT16" s="203"/>
      <c r="AU16" s="202"/>
      <c r="AV16" s="203"/>
      <c r="AW16" s="202"/>
      <c r="AX16" s="203"/>
      <c r="AY16" s="126" t="str">
        <f t="shared" si="9"/>
        <v xml:space="preserve"> - </v>
      </c>
      <c r="AZ16" s="127" t="str">
        <f t="shared" si="9"/>
        <v xml:space="preserve"> - </v>
      </c>
      <c r="BA16" s="127" t="str">
        <f t="shared" si="9"/>
        <v xml:space="preserve"> - </v>
      </c>
      <c r="BB16" s="127" t="str">
        <f t="shared" si="9"/>
        <v xml:space="preserve"> - </v>
      </c>
      <c r="BC16" s="125" t="str">
        <f>IF(ISNUMBER(W16),W16," - ")</f>
        <v xml:space="preserve"> - </v>
      </c>
      <c r="BD16" s="126" t="str">
        <f t="shared" ref="BD16" si="11">IF(ISNUMBER(BA16/AZ16),BA16/AZ16," - ")</f>
        <v xml:space="preserve"> - </v>
      </c>
      <c r="BE16" s="127" t="str">
        <f t="shared" ref="BE16" si="12">IF(ISNUMBER(BB16/BA16),BB16/BA16, " - ")</f>
        <v xml:space="preserve"> - </v>
      </c>
      <c r="BF16" s="127" t="str">
        <f t="shared" ref="BF16" si="13">IF(ISNUMBER(BC16/BA16),BC16/BA16, " - ")</f>
        <v xml:space="preserve"> - </v>
      </c>
      <c r="BG16" s="196" t="str">
        <f t="shared" si="10"/>
        <v xml:space="preserve"> - </v>
      </c>
      <c r="BH16" s="155">
        <v>0</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218</v>
      </c>
      <c r="J17" s="183">
        <v>644</v>
      </c>
      <c r="K17" s="183">
        <v>565</v>
      </c>
      <c r="L17" s="183">
        <v>203</v>
      </c>
      <c r="M17" s="183">
        <v>39</v>
      </c>
      <c r="N17" s="183">
        <v>420</v>
      </c>
      <c r="O17" s="183">
        <v>1</v>
      </c>
      <c r="P17" s="183">
        <v>7</v>
      </c>
      <c r="Q17" s="183">
        <v>1</v>
      </c>
      <c r="R17" s="183">
        <v>12</v>
      </c>
      <c r="S17" s="183">
        <v>215</v>
      </c>
      <c r="T17" s="183">
        <v>161</v>
      </c>
      <c r="U17" s="183">
        <v>171</v>
      </c>
      <c r="V17" s="183">
        <v>205</v>
      </c>
      <c r="W17" s="183">
        <v>17</v>
      </c>
      <c r="X17" s="189">
        <v>89</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1</v>
      </c>
      <c r="AQ17" s="154">
        <v>1</v>
      </c>
      <c r="AR17" s="155">
        <v>1</v>
      </c>
      <c r="AS17" s="339" t="s">
        <v>792</v>
      </c>
      <c r="AT17" s="209"/>
      <c r="AU17" s="200"/>
      <c r="AV17" s="209"/>
      <c r="AW17" s="200"/>
      <c r="AX17" s="209"/>
      <c r="AY17" s="128">
        <f t="shared" ref="AY17:BB17" si="14">IF(ISNUMBER(S17),S17," - ")</f>
        <v>215</v>
      </c>
      <c r="AZ17" s="129">
        <f t="shared" si="14"/>
        <v>161</v>
      </c>
      <c r="BA17" s="129">
        <f t="shared" si="14"/>
        <v>171</v>
      </c>
      <c r="BB17" s="129">
        <f t="shared" si="14"/>
        <v>205</v>
      </c>
      <c r="BC17" s="125">
        <f>IF(ISNUMBER(W17),W17," - ")</f>
        <v>17</v>
      </c>
      <c r="BD17" s="126">
        <f>IF(ISNUMBER(BA17/AZ17),BA17/AZ17," - ")</f>
        <v>1.0621118012422359</v>
      </c>
      <c r="BE17" s="127">
        <f>IF(ISNUMBER(BB17/BA17),BB17/BA17, " - ")</f>
        <v>1.1988304093567252</v>
      </c>
      <c r="BF17" s="127">
        <f>IF(ISNUMBER(BC17/BA17),BC17/BA17, " - ")</f>
        <v>9.9415204678362568E-2</v>
      </c>
      <c r="BG17" s="196">
        <f>IF(ISNUMBER((AY17+AZ17)/BA17),(AY17+AZ17)/BA17," - ")</f>
        <v>2.198830409356725</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1438</v>
      </c>
      <c r="J18" s="184">
        <f t="shared" si="15"/>
        <v>2319</v>
      </c>
      <c r="K18" s="184">
        <f t="shared" si="15"/>
        <v>2372</v>
      </c>
      <c r="L18" s="184">
        <f t="shared" si="15"/>
        <v>1297</v>
      </c>
      <c r="M18" s="184">
        <f t="shared" si="15"/>
        <v>370</v>
      </c>
      <c r="N18" s="184">
        <f t="shared" si="15"/>
        <v>1472</v>
      </c>
      <c r="O18" s="184">
        <f t="shared" si="15"/>
        <v>71</v>
      </c>
      <c r="P18" s="184">
        <f t="shared" si="15"/>
        <v>145</v>
      </c>
      <c r="Q18" s="184">
        <f t="shared" si="15"/>
        <v>149</v>
      </c>
      <c r="R18" s="184">
        <f t="shared" si="15"/>
        <v>249</v>
      </c>
      <c r="S18" s="184">
        <f t="shared" si="15"/>
        <v>1103</v>
      </c>
      <c r="T18" s="184">
        <f t="shared" si="15"/>
        <v>1290</v>
      </c>
      <c r="U18" s="184">
        <f t="shared" si="15"/>
        <v>1206</v>
      </c>
      <c r="V18" s="184">
        <f t="shared" si="15"/>
        <v>1191</v>
      </c>
      <c r="W18" s="184">
        <f t="shared" si="15"/>
        <v>176</v>
      </c>
      <c r="X18" s="184">
        <f t="shared" si="15"/>
        <v>718</v>
      </c>
      <c r="Y18" s="184">
        <f t="shared" si="15"/>
        <v>0</v>
      </c>
      <c r="Z18" s="184">
        <f t="shared" si="15"/>
        <v>0</v>
      </c>
      <c r="AA18" s="184">
        <f t="shared" si="15"/>
        <v>0</v>
      </c>
      <c r="AB18" s="184">
        <f t="shared" si="15"/>
        <v>0</v>
      </c>
      <c r="AC18" s="184">
        <f t="shared" si="15"/>
        <v>0</v>
      </c>
      <c r="AD18" s="184">
        <f t="shared" si="15"/>
        <v>82</v>
      </c>
      <c r="AE18" s="184">
        <f t="shared" si="15"/>
        <v>82</v>
      </c>
      <c r="AF18" s="184">
        <f t="shared" si="15"/>
        <v>0</v>
      </c>
      <c r="AG18" s="184">
        <f t="shared" si="15"/>
        <v>0</v>
      </c>
      <c r="AH18" s="184">
        <f t="shared" si="15"/>
        <v>0</v>
      </c>
      <c r="AI18" s="184">
        <f t="shared" si="15"/>
        <v>0</v>
      </c>
      <c r="AJ18" s="184">
        <f t="shared" si="15"/>
        <v>0</v>
      </c>
      <c r="AK18" s="184">
        <f t="shared" si="15"/>
        <v>0</v>
      </c>
      <c r="AL18" s="184">
        <f t="shared" si="15"/>
        <v>65</v>
      </c>
      <c r="AM18" s="184">
        <f t="shared" si="15"/>
        <v>65</v>
      </c>
      <c r="AN18" s="184">
        <f t="shared" si="15"/>
        <v>0</v>
      </c>
      <c r="AO18" s="184">
        <f t="shared" si="15"/>
        <v>5</v>
      </c>
      <c r="AP18" s="184">
        <f t="shared" si="15"/>
        <v>5</v>
      </c>
      <c r="AQ18" s="184">
        <f t="shared" si="15"/>
        <v>5</v>
      </c>
      <c r="AR18" s="184">
        <f t="shared" si="15"/>
        <v>5</v>
      </c>
      <c r="AS18" s="184">
        <f t="shared" si="15"/>
        <v>0</v>
      </c>
      <c r="AT18" s="184">
        <f t="shared" si="15"/>
        <v>0</v>
      </c>
      <c r="AU18" s="204"/>
      <c r="AV18" s="132"/>
      <c r="AW18" s="204"/>
      <c r="AX18" s="132"/>
      <c r="AY18" s="184">
        <f>SUBTOTAL(9,AY14:AY17)</f>
        <v>1103</v>
      </c>
      <c r="AZ18" s="184">
        <f>SUBTOTAL(9,AZ14:AZ17)</f>
        <v>1290</v>
      </c>
      <c r="BA18" s="184">
        <f>SUBTOTAL(9,BA14:BA17)</f>
        <v>1206</v>
      </c>
      <c r="BB18" s="184">
        <f>SUBTOTAL(9,BB14:BB17)</f>
        <v>1191</v>
      </c>
      <c r="BC18" s="184">
        <f>SUBTOTAL(9,BC14:BC17)</f>
        <v>176</v>
      </c>
      <c r="BD18" s="205">
        <f>IF(ISNUMBER(BA18/AZ18),BA18/AZ18," - ")</f>
        <v>0.93488372093023253</v>
      </c>
      <c r="BE18" s="206">
        <f>IF(ISNUMBER(BB18/BA18),BB18/BA18, " - ")</f>
        <v>0.98756218905472637</v>
      </c>
      <c r="BF18" s="206">
        <f>IF(ISNUMBER(BC18/BA18),BC18/BA18, " - ")</f>
        <v>0.14593698175787728</v>
      </c>
      <c r="BG18" s="207">
        <f>IF(ISNUMBER((AY18+AZ18)/BA18),(AY18+AZ18)/BA18," - ")</f>
        <v>1.9842454394693201</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13019</v>
      </c>
      <c r="J19" s="134">
        <f t="shared" si="18"/>
        <v>4373</v>
      </c>
      <c r="K19" s="134">
        <f t="shared" si="18"/>
        <v>5534</v>
      </c>
      <c r="L19" s="134">
        <f t="shared" si="18"/>
        <v>11770</v>
      </c>
      <c r="M19" s="134">
        <f t="shared" si="18"/>
        <v>1661</v>
      </c>
      <c r="N19" s="134">
        <f t="shared" si="18"/>
        <v>2544</v>
      </c>
      <c r="O19" s="134">
        <f t="shared" si="18"/>
        <v>1233</v>
      </c>
      <c r="P19" s="134">
        <f t="shared" si="18"/>
        <v>735</v>
      </c>
      <c r="Q19" s="134">
        <f t="shared" si="18"/>
        <v>509</v>
      </c>
      <c r="R19" s="134">
        <f t="shared" si="18"/>
        <v>9026</v>
      </c>
      <c r="S19" s="134">
        <f t="shared" si="18"/>
        <v>11922</v>
      </c>
      <c r="T19" s="134">
        <f t="shared" si="18"/>
        <v>3300</v>
      </c>
      <c r="U19" s="134">
        <f t="shared" si="18"/>
        <v>3095</v>
      </c>
      <c r="V19" s="134">
        <f t="shared" si="18"/>
        <v>13243</v>
      </c>
      <c r="W19" s="134">
        <f t="shared" si="18"/>
        <v>1104</v>
      </c>
      <c r="X19" s="134">
        <f t="shared" si="18"/>
        <v>1209</v>
      </c>
      <c r="Y19" s="134">
        <f t="shared" si="18"/>
        <v>316</v>
      </c>
      <c r="Z19" s="134">
        <f t="shared" si="18"/>
        <v>148</v>
      </c>
      <c r="AA19" s="134">
        <f t="shared" si="18"/>
        <v>142</v>
      </c>
      <c r="AB19" s="134">
        <f t="shared" si="18"/>
        <v>322</v>
      </c>
      <c r="AC19" s="134">
        <f t="shared" si="18"/>
        <v>0</v>
      </c>
      <c r="AD19" s="134">
        <f t="shared" si="18"/>
        <v>82</v>
      </c>
      <c r="AE19" s="134">
        <f t="shared" si="18"/>
        <v>82</v>
      </c>
      <c r="AF19" s="134">
        <f t="shared" si="18"/>
        <v>0</v>
      </c>
      <c r="AG19" s="134">
        <f t="shared" si="18"/>
        <v>296</v>
      </c>
      <c r="AH19" s="134">
        <f t="shared" si="18"/>
        <v>121</v>
      </c>
      <c r="AI19" s="134">
        <f t="shared" si="18"/>
        <v>116</v>
      </c>
      <c r="AJ19" s="134">
        <f t="shared" si="18"/>
        <v>301</v>
      </c>
      <c r="AK19" s="134">
        <f t="shared" si="18"/>
        <v>0</v>
      </c>
      <c r="AL19" s="134">
        <f t="shared" si="18"/>
        <v>65</v>
      </c>
      <c r="AM19" s="134">
        <f t="shared" si="18"/>
        <v>65</v>
      </c>
      <c r="AN19" s="210">
        <f t="shared" si="18"/>
        <v>0</v>
      </c>
      <c r="AO19" s="211">
        <v>11</v>
      </c>
      <c r="AP19" s="211">
        <v>11</v>
      </c>
      <c r="AQ19" s="211">
        <v>11</v>
      </c>
      <c r="AR19" s="211">
        <v>11</v>
      </c>
      <c r="AS19" s="153">
        <f t="shared" si="18"/>
        <v>0</v>
      </c>
      <c r="AT19" s="153">
        <f t="shared" si="18"/>
        <v>0</v>
      </c>
      <c r="AU19" s="211"/>
      <c r="AV19" s="212"/>
      <c r="AW19" s="211"/>
      <c r="AX19" s="212"/>
      <c r="AY19" s="133">
        <f>SUBTOTAL(9,AY9:AY18)</f>
        <v>12218</v>
      </c>
      <c r="AZ19" s="134">
        <f>SUBTOTAL(9,AZ9:AZ18)</f>
        <v>3421</v>
      </c>
      <c r="BA19" s="134">
        <f>SUBTOTAL(9,BA9:BA18)</f>
        <v>3211</v>
      </c>
      <c r="BB19" s="134">
        <f>SUBTOTAL(9,BB9:BB18)</f>
        <v>13544</v>
      </c>
      <c r="BC19" s="135">
        <f>SUBTOTAL(9,BC9:BC18)</f>
        <v>669</v>
      </c>
      <c r="BD19" s="213">
        <f>IF(ISNUMBER(BA19/AZ19),BA19/AZ19," - ")</f>
        <v>0.93861444022215723</v>
      </c>
      <c r="BE19" s="210">
        <f>IF(ISNUMBER(BB19/BA19),BB19/BA19, " - ")</f>
        <v>4.2180006228589226</v>
      </c>
      <c r="BF19" s="210">
        <f>IF(ISNUMBER(BC19/BA19),BC19/BA19, " - ")</f>
        <v>0.20834630956088446</v>
      </c>
      <c r="BG19" s="135">
        <f>IF(ISNUMBER((AY19+AZ19)/BA19),(AY19+AZ19)/BA19," - ")</f>
        <v>4.8704453441295543</v>
      </c>
      <c r="BH19" s="211">
        <f>SUBTOTAL(9,BH9:BH18)</f>
        <v>12</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5p9exfBsfWhsObRchPYVDUO1sG1UidbyXo+bAdQVyms70dfggDuPRTGaCI3lT0m/Vk9nQGXAIUoWMonSMqV0Q==" saltValue="0XkOgU+GNE8IldjoRda1X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jgsae71WOg+px4KucJ4FQucZX0hdU8I689amN470LsnrENgXve1MBQYof+sWN5MXDgbALklk91z1twdWQ7S5Q==" saltValue="4uIo/G817Moai+esM2GLhA=="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CADIZ</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6</v>
      </c>
      <c r="B9" s="501" t="s">
        <v>246</v>
      </c>
      <c r="C9" s="160" t="str">
        <f>Datos!A9</f>
        <v xml:space="preserve">Jdos. 1ª Instancia   </v>
      </c>
      <c r="D9" s="502"/>
      <c r="E9" s="260">
        <f>IF(ISNUMBER(Datos!AQ9),Datos!AQ9," - ")</f>
        <v>6</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f>IF(ISNUMBER(Datos!Z9),Datos!Z9," - ")</f>
        <v>148</v>
      </c>
      <c r="O9" s="334"/>
      <c r="P9" s="334"/>
      <c r="Q9" s="226">
        <f>IF(ISNUMBER(Datos!P9),Datos!P9,0)</f>
        <v>584</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f>IF(ISNUMBER(Datos!Q9),Datos!Q9," - ")</f>
        <v>356</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f>IF(ISNUMBER(Datos!AB9),Datos!AB9,"-")</f>
        <v>322</v>
      </c>
      <c r="AI9" s="334" t="str">
        <f>IF(ISNUMBER(Datos!CD9),Datos!CD9,"-")</f>
        <v>-</v>
      </c>
      <c r="AJ9" s="334" t="str">
        <f>IF(ISNUMBER(Datos!EN9),Datos!EN9," - ")</f>
        <v xml:space="preserve"> - </v>
      </c>
      <c r="AK9" s="334"/>
      <c r="AL9" s="479"/>
      <c r="AM9" s="335">
        <f>IF(ISNUMBER(Datos!R9),Datos!R9," - ")</f>
        <v>8737</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f>IF(ISNUMBER(Datos!M9),Datos!M9," - ")</f>
        <v>1276</v>
      </c>
      <c r="BD9" s="229">
        <f>IF(ISNUMBER(Datos!N9),Datos!N9," - ")</f>
        <v>1052</v>
      </c>
      <c r="BE9" s="229" t="str">
        <f>IF(ISNUMBER(Datos!BW9),Datos!BW9," - ")</f>
        <v xml:space="preserve"> - </v>
      </c>
      <c r="BF9" s="228" t="str">
        <f>IF(ISNUMBER(Datos!BX9),Datos!BX9," - ")</f>
        <v xml:space="preserve"> - </v>
      </c>
      <c r="BG9" s="243">
        <f>IF(ISNUMBER(IF(J_V="SI",Datos!K9/Datos!J9,(Datos!K9+Datos!AA9)/(Datos!J9+Datos!Z9))),IF(J_V="SI",Datos!K9/Datos!J9,(Datos!K9+Datos!AA9)/(Datos!J9+Datos!Z9))," - ")</f>
        <v>1.5078558225508318</v>
      </c>
      <c r="BH9" s="260">
        <f>IF(ISNUMBER(((IF(J_V="SI",Datos!L9/Datos!K9,(Datos!L9+Datos!AB9)/(Datos!K9+Datos!AA9)))*11)/factor_trimestre),((IF(J_V="SI",Datos!L9/Datos!K9,(Datos!L9+Datos!AB9)/(Datos!K9+Datos!AA9)))*11)/factor_trimestre," - ")</f>
        <v>9.8669935642047211</v>
      </c>
      <c r="BI9" s="243"/>
      <c r="BJ9" s="230" t="str">
        <f>IF(ISNUMBER(Datos!CI9/Datos!CJ9),Datos!CI9/Datos!CJ9," - ")</f>
        <v xml:space="preserve"> - </v>
      </c>
      <c r="BK9" s="360" t="str">
        <f>IF(ISNUMBER(Datos!CJ9),Datos!CJ9," - ")</f>
        <v xml:space="preserve"> - </v>
      </c>
      <c r="BL9" s="230" t="str">
        <f>IF(ISNUMBER((J9-AB9+L9)/(F9)),(J9-AB9+L9)/(F9)," - ")</f>
        <v xml:space="preserve"> - </v>
      </c>
      <c r="BM9" s="611">
        <f>IF(ISNUMBER((Datos!P9-Datos!Q9+Datos!DE9)/(Datos!R9-Datos!P9+Datos!Q9-Datos!DE9)),(Datos!P9-Datos!Q9+Datos!DE9)/(Datos!R9-Datos!P9+Datos!Q9-Datos!DE9)," - ")</f>
        <v>2.6795158067928076E-2</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1</v>
      </c>
      <c r="F10" s="225">
        <f>IF(ISNUMBER(Datos!L10+Datos!K10-Datos!J10),Datos!L10+Datos!K10-Datos!J10," - ")</f>
        <v>66</v>
      </c>
      <c r="G10" s="333">
        <f>IF(ISNUMBER(Datos!I10),Datos!I10," - ")</f>
        <v>66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6</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41</v>
      </c>
      <c r="AC10" s="226">
        <f>IF(ISNUMBER(Datos!Q10),Datos!Q10," - ")</f>
        <v>4</v>
      </c>
      <c r="AD10" s="334"/>
      <c r="AE10" s="484"/>
      <c r="AF10" s="332">
        <f>IF(ISNUMBER(Datos!L10),Datos!L10,"-")</f>
        <v>63</v>
      </c>
      <c r="AG10" s="334"/>
      <c r="AH10" s="334"/>
      <c r="AI10" s="334"/>
      <c r="AJ10" s="334"/>
      <c r="AK10" s="334"/>
      <c r="AL10" s="479"/>
      <c r="AM10" s="335">
        <f>IF(ISNUMBER(Datos!R10),Datos!R10," - ")</f>
        <v>40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15</v>
      </c>
      <c r="BD10" s="229">
        <f>IF(ISNUMBER(Datos!N10),Datos!N10," - ")</f>
        <v>20</v>
      </c>
      <c r="BE10" s="229" t="str">
        <f>IF(ISNUMBER(Datos!BW10),Datos!BW10," - ")</f>
        <v xml:space="preserve"> - </v>
      </c>
      <c r="BF10" s="228" t="str">
        <f>IF(ISNUMBER(Datos!BX10),Datos!BX10," - ")</f>
        <v xml:space="preserve"> - </v>
      </c>
      <c r="BG10" s="243">
        <f>IF(ISNUMBER(Datos!K10/Datos!J10),Datos!K10/Datos!J10," - ")</f>
        <v>1.0789473684210527</v>
      </c>
      <c r="BH10" s="260">
        <f>IF(ISNUMBER(((Datos!L10/Datos!K10)*11)/factor_trimestre),((Datos!L10/Datos!K10)*11)/factor_trimestre," - ")</f>
        <v>4.6097560975609762</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5.2631578947368418E-2</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0</v>
      </c>
      <c r="B12" s="507" t="s">
        <v>246</v>
      </c>
      <c r="C12" s="7" t="str">
        <f>Datos!A12</f>
        <v xml:space="preserve">Jdos. 1ª Instª. e Instr.                        </v>
      </c>
      <c r="D12" s="508"/>
      <c r="E12" s="260">
        <f>IF(ISNUMBER(Datos!AQ12),Datos!AQ12," - ")</f>
        <v>0</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t="str">
        <f>IF(ISNUMBER(Datos!Z12),Datos!Z12," - ")</f>
        <v xml:space="preserve"> - </v>
      </c>
      <c r="O12" s="334"/>
      <c r="P12" s="334"/>
      <c r="Q12" s="226">
        <f>IF(ISNUMBER(Datos!P12),Datos!P12,0)</f>
        <v>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t="str">
        <f>IF(ISNUMBER(Datos!Q12),Datos!Q12," - ")</f>
        <v xml:space="preserve"> - </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t="str">
        <f>IF(ISNUMBER(Datos!AB12),Datos!AB12,"-")</f>
        <v>-</v>
      </c>
      <c r="AI12" s="334" t="str">
        <f>IF(ISNUMBER(Datos!CD12),Datos!CD12,"-")</f>
        <v>-</v>
      </c>
      <c r="AJ12" s="334" t="str">
        <f>IF(ISNUMBER(Datos!EN12),Datos!EN12," - ")</f>
        <v xml:space="preserve"> - </v>
      </c>
      <c r="AK12" s="334"/>
      <c r="AL12" s="479"/>
      <c r="AM12" s="335" t="str">
        <f>IF(ISNUMBER(Datos!R12),Datos!R12," - ")</f>
        <v xml:space="preserve"> - </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t="str">
        <f>IF(ISNUMBER(Datos!M12),Datos!M12," - ")</f>
        <v xml:space="preserve"> - </v>
      </c>
      <c r="BD12" s="229" t="str">
        <f>IF(ISNUMBER(Datos!N12),Datos!N12," - ")</f>
        <v xml:space="preserve"> - </v>
      </c>
      <c r="BE12" s="229" t="str">
        <f>IF(ISNUMBER(Datos!BW12),Datos!BW12," - ")</f>
        <v xml:space="preserve"> - </v>
      </c>
      <c r="BF12" s="228" t="str">
        <f>IF(ISNUMBER(Datos!BX12),Datos!BX12," - ")</f>
        <v xml:space="preserve"> - </v>
      </c>
      <c r="BG12" s="243" t="str">
        <f>IF(ISNUMBER(IF(J_V="SI",Datos!K12/Datos!J12,(Datos!K12+Datos!AA12)/(Datos!J12+Datos!Z12))),IF(J_V="SI",Datos!K12/Datos!J12,(Datos!K12+Datos!AA12)/(Datos!J12+Datos!Z12))," - ")</f>
        <v xml:space="preserve"> - </v>
      </c>
      <c r="BH12" s="260" t="str">
        <f>IF(ISNUMBER(((IF(J_V="SI",Datos!L12/Datos!K12,(Datos!L12+Datos!AB12)/(Datos!K12+Datos!AA12)))*11)/factor_trimestre),((IF(J_V="SI",Datos!L12/Datos!K12,(Datos!L12+Datos!AB12)/(Datos!K12+Datos!AA12)))*11)/factor_trimestre," - ")</f>
        <v xml:space="preserve"> - </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t="str">
        <f>IF(ISNUMBER((Datos!P12-Datos!Q12+Datos!DE12)/(Datos!R12-Datos!P12+Datos!Q12-Datos!DE12)),(Datos!P12-Datos!Q12+Datos!DE12)/(Datos!R12-Datos!P12+Datos!Q12-Datos!DE12)," - ")</f>
        <v xml:space="preserve"> - </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7</v>
      </c>
      <c r="F13" s="898">
        <f t="shared" si="0"/>
        <v>66</v>
      </c>
      <c r="G13" s="898">
        <f t="shared" si="0"/>
        <v>66</v>
      </c>
      <c r="H13" s="899">
        <f t="shared" si="0"/>
        <v>0</v>
      </c>
      <c r="I13" s="898">
        <f t="shared" si="0"/>
        <v>0</v>
      </c>
      <c r="J13" s="867">
        <f t="shared" si="0"/>
        <v>0</v>
      </c>
      <c r="K13" s="867">
        <f t="shared" si="0"/>
        <v>0</v>
      </c>
      <c r="L13" s="899">
        <f t="shared" si="0"/>
        <v>0</v>
      </c>
      <c r="M13" s="899">
        <f t="shared" si="0"/>
        <v>0</v>
      </c>
      <c r="N13" s="899">
        <f t="shared" si="0"/>
        <v>148</v>
      </c>
      <c r="O13" s="900">
        <f t="shared" si="0"/>
        <v>0</v>
      </c>
      <c r="P13" s="900">
        <f t="shared" si="0"/>
        <v>0</v>
      </c>
      <c r="Q13" s="899">
        <f t="shared" si="0"/>
        <v>590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41</v>
      </c>
      <c r="AC13" s="899">
        <f t="shared" si="1"/>
        <v>360</v>
      </c>
      <c r="AD13" s="899">
        <f t="shared" si="1"/>
        <v>0</v>
      </c>
      <c r="AE13" s="899">
        <f t="shared" si="1"/>
        <v>0</v>
      </c>
      <c r="AF13" s="899">
        <f t="shared" si="1"/>
        <v>63</v>
      </c>
      <c r="AG13" s="899">
        <f t="shared" si="1"/>
        <v>0</v>
      </c>
      <c r="AH13" s="899">
        <f t="shared" si="1"/>
        <v>322</v>
      </c>
      <c r="AI13" s="899">
        <f t="shared" si="1"/>
        <v>0</v>
      </c>
      <c r="AJ13" s="899">
        <f t="shared" si="1"/>
        <v>0</v>
      </c>
      <c r="AK13" s="899">
        <f t="shared" si="1"/>
        <v>0</v>
      </c>
      <c r="AL13" s="899">
        <f t="shared" si="1"/>
        <v>0</v>
      </c>
      <c r="AM13" s="899">
        <f t="shared" si="1"/>
        <v>8777</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1291</v>
      </c>
      <c r="BD13" s="899">
        <f t="shared" si="1"/>
        <v>1072</v>
      </c>
      <c r="BE13" s="899">
        <f t="shared" si="1"/>
        <v>0</v>
      </c>
      <c r="BF13" s="899">
        <f t="shared" si="1"/>
        <v>0</v>
      </c>
      <c r="BG13" s="899">
        <f>IF(ISNUMBER(Datos!K13/Datos!J13),Datos!K13/Datos!J13," - ")</f>
        <v>1.5394352482960079</v>
      </c>
      <c r="BH13" s="903">
        <f>IF(ISNUMBER(((Datos!L13/Datos!K13)*11)/factor_trimestre),((Datos!L13/Datos!K13)*11)/factor_trimestre," - ")</f>
        <v>9.9364326375711567</v>
      </c>
      <c r="BI13" s="899">
        <f>IF(ISNUMBER('Resol  Asuntos'!D13/NºAsuntos!G13),'Resol  Asuntos'!D13/NºAsuntos!G13," - ")</f>
        <v>0.39073849878934624</v>
      </c>
      <c r="BJ13" s="899" t="str">
        <f>IF(ISNUMBER(Datos!CI13/Datos!CJ13),Datos!CI13/Datos!CJ13," - ")</f>
        <v xml:space="preserve"> - </v>
      </c>
      <c r="BK13" s="899">
        <f>SUBTOTAL(9,BK8:BK12)</f>
        <v>0</v>
      </c>
      <c r="BL13" s="899">
        <f>IF(ISNUMBER((I13-AB13+L13)/(F13)),(I13-AB13+L13)/(F13)," - ")</f>
        <v>-0.62121212121212122</v>
      </c>
      <c r="BM13" s="904">
        <f>SUBTOTAL(9,BM9:BM12)</f>
        <v>7.9426737015296497E-2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4</v>
      </c>
      <c r="B15" s="594" t="s">
        <v>396</v>
      </c>
      <c r="C15" s="600" t="str">
        <f>Datos!A15</f>
        <v xml:space="preserve">Jdos. Instrucción                               </v>
      </c>
      <c r="D15" s="601"/>
      <c r="E15" s="1165">
        <f>IF(ISNUMBER(Datos!AQ15),Datos!AQ15," - ")</f>
        <v>4</v>
      </c>
      <c r="F15" s="595">
        <f>IF(ISNUMBER(AF15+AB15-Datos!J15-L15),AF15+AB15-Datos!J15-L15," - ")</f>
        <v>1226</v>
      </c>
      <c r="G15" s="598">
        <f>IF(ISNUMBER(IF(D_I="SI",Datos!I15,Datos!I15+Datos!AC15)),IF(D_I="SI",Datos!I15,Datos!I15+Datos!AC15)," - ")</f>
        <v>1220</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138</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f>IF(ISNUMBER(IF(D_I="SI",Datos!K15,Datos!K15+Datos!AE15)),IF(D_I="SI",Datos!K15,Datos!K15+Datos!AE15)," - ")</f>
        <v>1807</v>
      </c>
      <c r="AC15" s="226">
        <f>IF(ISNUMBER(Datos!Q15),Datos!Q15," - ")</f>
        <v>148</v>
      </c>
      <c r="AD15" s="334"/>
      <c r="AE15" s="484"/>
      <c r="AF15" s="596">
        <f>IF(ISNUMBER(IF(D_I="SI",Datos!L15,Datos!L15+Datos!AF15)),IF(D_I="SI",Datos!L15,Datos!L15+Datos!AF15)," - ")</f>
        <v>1094</v>
      </c>
      <c r="AG15" s="334"/>
      <c r="AH15" s="334"/>
      <c r="AI15" s="334"/>
      <c r="AJ15" s="334"/>
      <c r="AK15" s="334"/>
      <c r="AL15" s="479"/>
      <c r="AM15" s="335">
        <f>IF(ISNUMBER(Datos!R15),Datos!R15," - ")</f>
        <v>237</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f>IF(ISNUMBER(Datos!M15),Datos!M15," - ")</f>
        <v>331</v>
      </c>
      <c r="BD15" s="229">
        <f>IF(ISNUMBER(Datos!N15),Datos!N15," - ")</f>
        <v>1052</v>
      </c>
      <c r="BE15" s="229" t="str">
        <f>IF(ISNUMBER(Datos!BW15),Datos!BW15," - ")</f>
        <v xml:space="preserve"> - </v>
      </c>
      <c r="BF15" s="228" t="str">
        <f>IF(ISNUMBER(Datos!BX15),Datos!BX15," - ")</f>
        <v xml:space="preserve"> - </v>
      </c>
      <c r="BG15" s="243">
        <f>IF(ISNUMBER(IF(D_I="SI",Datos!K15/Datos!J15,(Datos!K15+Datos!AE15)/(Datos!J15+Datos!AD15))),IF(D_I="SI",Datos!K15/Datos!J15,(Datos!K15+Datos!AE15)/(Datos!J15+Datos!AD15))," - ")</f>
        <v>1.0788059701492538</v>
      </c>
      <c r="BH15" s="260">
        <f>IF(ISNUMBER(((IF(D_I="SI",Datos!L15/Datos!K15,(Datos!L15+Datos!AF15)/(Datos!K15+Datos!AE15)))*11)/factor_trimestre),((IF(D_I="SI",Datos!L15/Datos!K15,(Datos!L15+Datos!AF15)/(Datos!K15+Datos!AE15)))*11)/factor_trimestre," - ")</f>
        <v>1.8162700608743776</v>
      </c>
      <c r="BI15" s="243">
        <f>IF(ISNUMBER('Resol  Asuntos'!D15/NºAsuntos!G15),'Resol  Asuntos'!D15/NºAsuntos!G15," - ")</f>
        <v>0.1831765356945213</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0</v>
      </c>
      <c r="B16" s="594" t="s">
        <v>396</v>
      </c>
      <c r="C16" s="600" t="str">
        <f>Datos!A16</f>
        <v xml:space="preserve">Jdos. 1ª Instª. e Instr.                        </v>
      </c>
      <c r="D16" s="601"/>
      <c r="E16" s="1165">
        <f>IF(ISNUMBER(Datos!AQ16),Datos!AQ16," - ")</f>
        <v>0</v>
      </c>
      <c r="F16" s="595" t="str">
        <f>IF(ISNUMBER(AF16+AB16-Datos!J16-L16),AF16+AB16-Datos!J16-L16," - ")</f>
        <v xml:space="preserve"> - </v>
      </c>
      <c r="G16" s="598" t="str">
        <f>IF(ISNUMBER(IF(D_I="SI",Datos!I16,Datos!I16+Datos!AC16)),IF(D_I="SI",Datos!I16,Datos!I16+Datos!AC16)," - ")</f>
        <v xml:space="preserve"> - </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t="str">
        <f>IF(ISNUMBER(IF(D_I="SI",Datos!K16,Datos!K16+Datos!AE16)),IF(D_I="SI",Datos!K16,Datos!K16+Datos!AE16)," - ")</f>
        <v xml:space="preserve"> - </v>
      </c>
      <c r="AC16" s="226" t="str">
        <f>IF(ISNUMBER(Datos!Q16),Datos!Q16," - ")</f>
        <v xml:space="preserve"> - </v>
      </c>
      <c r="AD16" s="334"/>
      <c r="AE16" s="484"/>
      <c r="AF16" s="596" t="str">
        <f>IF(ISNUMBER(IF(D_I="SI",Datos!L16,Datos!L16+Datos!AF16)),IF(D_I="SI",Datos!L16,Datos!L16+Datos!AF16)," - ")</f>
        <v xml:space="preserve"> - </v>
      </c>
      <c r="AG16" s="334"/>
      <c r="AH16" s="334"/>
      <c r="AI16" s="334"/>
      <c r="AJ16" s="334"/>
      <c r="AK16" s="334"/>
      <c r="AL16" s="479"/>
      <c r="AM16" s="335" t="str">
        <f>IF(ISNUMBER(Datos!R16),Datos!R16," - ")</f>
        <v xml:space="preserve"> - </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t="str">
        <f>IF(ISNUMBER(Datos!M16),Datos!M16," - ")</f>
        <v xml:space="preserve"> - </v>
      </c>
      <c r="BD16" s="229" t="str">
        <f>IF(ISNUMBER(Datos!N16),Datos!N16," - ")</f>
        <v xml:space="preserve"> - </v>
      </c>
      <c r="BE16" s="229" t="str">
        <f>IF(ISNUMBER(Datos!BW16),Datos!BW16," - ")</f>
        <v xml:space="preserve"> - </v>
      </c>
      <c r="BF16" s="228" t="str">
        <f>IF(ISNUMBER(Datos!BX16),Datos!BX16," - ")</f>
        <v xml:space="preserve"> - </v>
      </c>
      <c r="BG16" s="243" t="str">
        <f>IF(ISNUMBER(IF(D_I="SI",Datos!K16/Datos!J16,(Datos!K16+Datos!AE16)/(Datos!J16+Datos!AD16))),IF(D_I="SI",Datos!K16/Datos!J16,(Datos!K16+Datos!AE16)/(Datos!J16+Datos!AD16))," - ")</f>
        <v xml:space="preserve"> - </v>
      </c>
      <c r="BH16" s="260" t="str">
        <f>IF(ISNUMBER(((IF(D_I="SI",Datos!L16/Datos!K16,(Datos!L16+Datos!AF16)/(Datos!K16+Datos!AE16)))*11)/factor_trimestre),((IF(D_I="SI",Datos!L16/Datos!K16,(Datos!L16+Datos!AF16)/(Datos!K16+Datos!AE16)))*11)/factor_trimestre," - ")</f>
        <v xml:space="preserve"> - </v>
      </c>
      <c r="BI16" s="243" t="str">
        <f>IF(ISNUMBER('Resol  Asuntos'!D16/NºAsuntos!G16),'Resol  Asuntos'!D16/NºAsuntos!G16," - ")</f>
        <v xml:space="preserve"> - </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1</v>
      </c>
      <c r="F17" s="225" t="str">
        <f>IF(ISNUMBER(AF17+AB17-I17-L17),AF17+AB17-I17-L17," - ")</f>
        <v xml:space="preserve"> - </v>
      </c>
      <c r="G17" s="333">
        <f>IF(ISNUMBER(IF(D_I="SI",Datos!I17,Datos!I17+Datos!AC17)),IF(D_I="SI",Datos!I17,Datos!I17+Datos!AC17)," - ")</f>
        <v>218</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7</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565</v>
      </c>
      <c r="AC17" s="226">
        <f>IF(ISNUMBER(Datos!Q17),Datos!Q17," - ")</f>
        <v>1</v>
      </c>
      <c r="AD17" s="334"/>
      <c r="AE17" s="484"/>
      <c r="AF17" s="332">
        <f>IF(ISNUMBER(Datos!L17),Datos!L17,"-")</f>
        <v>203</v>
      </c>
      <c r="AG17" s="334"/>
      <c r="AH17" s="334"/>
      <c r="AI17" s="334"/>
      <c r="AJ17" s="334"/>
      <c r="AK17" s="334"/>
      <c r="AL17" s="479"/>
      <c r="AM17" s="335">
        <f>IF(ISNUMBER(Datos!R17),Datos!R17," - ")</f>
        <v>12</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39</v>
      </c>
      <c r="BD17" s="229">
        <f>IF(ISNUMBER(Datos!N17),Datos!N17," - ")</f>
        <v>420</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0.87732919254658381</v>
      </c>
      <c r="BH17" s="260">
        <f>IF(ISNUMBER(((IF(D_I="SI",Datos!L17/Datos!K17,(Datos!L17+Datos!AF17)/(Datos!K17+Datos!AE17)))*11)/factor_trimestre),((IF(D_I="SI",Datos!L17/Datos!K17,(Datos!L17+Datos!AF17)/(Datos!K17+Datos!AE17)))*11)/factor_trimestre," - ")</f>
        <v>1.0778761061946902</v>
      </c>
      <c r="BI17" s="243">
        <f>IF(ISNUMBER('Resol  Asuntos'!D17/NºAsuntos!G17),'Resol  Asuntos'!D17/NºAsuntos!G17," - ")</f>
        <v>6.9026548672566371E-2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5</v>
      </c>
      <c r="F18" s="898">
        <f>SUBTOTAL(9,F15:F17)</f>
        <v>1226</v>
      </c>
      <c r="G18" s="898">
        <f>SUBTOTAL(9,G15:G17)</f>
        <v>1438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145</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2372</v>
      </c>
      <c r="AC18" s="899">
        <f t="shared" si="4"/>
        <v>149</v>
      </c>
      <c r="AD18" s="899">
        <f t="shared" si="4"/>
        <v>0</v>
      </c>
      <c r="AE18" s="899">
        <f t="shared" si="4"/>
        <v>0</v>
      </c>
      <c r="AF18" s="899">
        <f t="shared" si="4"/>
        <v>1297</v>
      </c>
      <c r="AG18" s="899">
        <f t="shared" si="4"/>
        <v>0</v>
      </c>
      <c r="AH18" s="899">
        <f t="shared" si="4"/>
        <v>0</v>
      </c>
      <c r="AI18" s="899">
        <f t="shared" si="4"/>
        <v>0</v>
      </c>
      <c r="AJ18" s="899">
        <f t="shared" si="4"/>
        <v>0</v>
      </c>
      <c r="AK18" s="899">
        <f t="shared" si="4"/>
        <v>0</v>
      </c>
      <c r="AL18" s="899">
        <f t="shared" si="4"/>
        <v>0</v>
      </c>
      <c r="AM18" s="899">
        <f t="shared" si="4"/>
        <v>249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370</v>
      </c>
      <c r="BD18" s="899">
        <f t="shared" si="4"/>
        <v>1472</v>
      </c>
      <c r="BE18" s="899">
        <f t="shared" si="4"/>
        <v>0</v>
      </c>
      <c r="BF18" s="899">
        <f t="shared" si="4"/>
        <v>0</v>
      </c>
      <c r="BG18" s="899">
        <f>IF(ISNUMBER(Datos!K18/Datos!J18),Datos!K18/Datos!J18," - ")</f>
        <v>1.0228546787408366</v>
      </c>
      <c r="BH18" s="903">
        <f>IF(ISNUMBER(((Datos!L18/Datos!K18)*11)/factor_trimestre),((Datos!L18/Datos!K18)*11)/factor_trimestre," - ")</f>
        <v>1.6403878583473863</v>
      </c>
      <c r="BI18" s="899">
        <f>SUBTOTAL(9,BI15:BI17)</f>
        <v>0.25220308436708766</v>
      </c>
      <c r="BJ18" s="899">
        <f>SUBTOTAL(9,BJ15:BJ17)</f>
        <v>0</v>
      </c>
      <c r="BK18" s="899">
        <f>SUBTOTAL(9,BK15:BK17)</f>
        <v>0</v>
      </c>
      <c r="BL18" s="899">
        <f>IF(ISNUMBER((I18-AB18+L18)/(F18)),(I18-AB18+L18)/(F18)," - ")</f>
        <v>-1.9347471451876019</v>
      </c>
      <c r="BM18" s="905">
        <f>IF(ISNUMBER((Datos!P18-Datos!Q18)/(Datos!R18-Datos!P18+Datos!Q18)),(Datos!P18-Datos!Q18)/(Datos!R18-Datos!P18+Datos!Q18)," - ")</f>
        <v>-1.5810276679841896E-2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12</v>
      </c>
      <c r="F19" s="820">
        <f t="shared" si="6"/>
        <v>1292</v>
      </c>
      <c r="G19" s="820">
        <f t="shared" si="6"/>
        <v>1504</v>
      </c>
      <c r="H19" s="822">
        <f t="shared" si="6"/>
        <v>0</v>
      </c>
      <c r="I19" s="820">
        <f t="shared" si="6"/>
        <v>0</v>
      </c>
      <c r="J19" s="822">
        <f t="shared" si="6"/>
        <v>0</v>
      </c>
      <c r="K19" s="822">
        <f t="shared" si="6"/>
        <v>0</v>
      </c>
      <c r="L19" s="881">
        <f t="shared" si="6"/>
        <v>0</v>
      </c>
      <c r="M19" s="881">
        <f t="shared" si="6"/>
        <v>0</v>
      </c>
      <c r="N19" s="881">
        <f t="shared" si="6"/>
        <v>148</v>
      </c>
      <c r="O19" s="881">
        <f t="shared" si="6"/>
        <v>0</v>
      </c>
      <c r="P19" s="881">
        <f t="shared" si="6"/>
        <v>0</v>
      </c>
      <c r="Q19" s="822">
        <f t="shared" si="6"/>
        <v>735</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2413</v>
      </c>
      <c r="AC19" s="821">
        <f t="shared" si="7"/>
        <v>509</v>
      </c>
      <c r="AD19" s="821">
        <f t="shared" si="7"/>
        <v>0</v>
      </c>
      <c r="AE19" s="821">
        <f t="shared" si="7"/>
        <v>0</v>
      </c>
      <c r="AF19" s="828">
        <f t="shared" si="7"/>
        <v>1360</v>
      </c>
      <c r="AG19" s="828">
        <f t="shared" si="7"/>
        <v>0</v>
      </c>
      <c r="AH19" s="828">
        <f t="shared" si="7"/>
        <v>322</v>
      </c>
      <c r="AI19" s="828">
        <f t="shared" si="7"/>
        <v>0</v>
      </c>
      <c r="AJ19" s="821">
        <f t="shared" si="7"/>
        <v>0</v>
      </c>
      <c r="AK19" s="828">
        <f t="shared" si="7"/>
        <v>0</v>
      </c>
      <c r="AL19" s="828">
        <f t="shared" si="7"/>
        <v>0</v>
      </c>
      <c r="AM19" s="828">
        <f t="shared" si="7"/>
        <v>9026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1661</v>
      </c>
      <c r="BD19" s="820">
        <f t="shared" si="7"/>
        <v>2544</v>
      </c>
      <c r="BE19" s="820">
        <f t="shared" si="7"/>
        <v>0</v>
      </c>
      <c r="BF19" s="830">
        <f t="shared" si="7"/>
        <v>0</v>
      </c>
      <c r="BG19" s="915">
        <f>IF(ISNUMBER(Datos!K19/Datos!J19),Datos!K19/Datos!J19," - ")</f>
        <v>1.2654927967070662</v>
      </c>
      <c r="BH19" s="915">
        <f>IF(ISNUMBER(((Datos!L19/Datos!K19)*11)/factor_trimestre),((Datos!L19/Datos!K19)*11)/factor_trimestre," - ")</f>
        <v>6.3805565594506684</v>
      </c>
      <c r="BI19" s="813">
        <f>IF(ISNUMBER(Datos!J19/Datos!I19),Datos!J19/Datos!I19," - ")</f>
        <v>0.33589369383209156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-1.8676470588235294</v>
      </c>
      <c r="BM19" s="889">
        <f>IF(ISNUMBER((Datos!P19-Datos!Q19+R19)/(Datos!R19-Datos!P19+Datos!Q19-R19)),(Datos!P19-Datos!Q19+R19)/(Datos!R19-Datos!P19+Datos!Q19-R19)," - ")</f>
        <v>2.5681818181818181E-2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601.6</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2.8284271247461903</v>
      </c>
      <c r="F21" s="551">
        <f>IF(ISNUMBER(STDEV(F8:F18)),STDEV(F8:F18),"-")</f>
        <v>669.72631225996588</v>
      </c>
      <c r="G21" s="552">
        <f>IF(ISNUMBER(STDEV(G8:G18)),STDEV(G8:G18),"-")</f>
        <v>671.35445183598802</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1067.2587315173391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583.74366520474257</v>
      </c>
      <c r="BD21" s="551"/>
      <c r="BE21" s="551">
        <f>IF(ISNUMBER(STDEV(BE8:BE18)),STDEV(BE8:BE18),"-")</f>
        <v>0</v>
      </c>
      <c r="BF21" s="556">
        <f>IF(ISNUMBER(STDEV(BF8:BF18)),STDEV(BF8:BF18),"-")</f>
        <v>0</v>
      </c>
      <c r="BG21" s="775">
        <f>IF(ISNUMBER(STDEV(BG8:BG18)),STDEV(BG8:BG18),"-")</f>
        <v>0.27325197020753217</v>
      </c>
      <c r="BH21" s="776">
        <f>IF(ISNUMBER(STDEV(BH8:BH18)),STDEV(BH8:BH18),"-")</f>
        <v>4.1189785042685045</v>
      </c>
      <c r="BI21" s="249">
        <f>IF(ISNUMBER(STDEV(BI8:BI18)),STDEV(BI8:BI18),"-")</f>
        <v>0.13451181348635971</v>
      </c>
      <c r="BJ21" s="230" t="str">
        <f>IF(ISNUMBER(BL21/BM21),BL21/BM21," - ")</f>
        <v xml:space="preserve"> - </v>
      </c>
      <c r="BK21" s="575"/>
      <c r="BL21" s="559">
        <f>IF(ISNUMBER(STDEV(BL8:BL18)),STDEV(BL8:BL18),"-")</f>
        <v>0.92880952277909656</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2DPobS5H9H2gxGXY7W5Si/aZuovWXhpZpXAb2iJAoCNJ2RV8CPE/g5lQksqk5X7hTwsfBDJGDeCGjWzybqdYiA==" saltValue="bxq/l+uI6k6Nfzr+LNF72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ANDALUCIA</v>
      </c>
    </row>
    <row r="2" spans="1:78" ht="16.5" customHeight="1">
      <c r="C2" s="528" t="str">
        <f>Criterios!A10 &amp;"  "&amp;Criterios!B10 &amp; "  " &amp; IF(NOT(ISBLANK(Criterios!A11)),Criterios!A11 &amp;"  "&amp;Criterios!B11,"")</f>
        <v>Provincias  CADIZ  Resumenes por Partidos Judiciales  CADIZ</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6</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584</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f>IF(ISNUMBER(Datos!Q9),Datos!Q9," - ")</f>
        <v>356</v>
      </c>
      <c r="AA9" s="332" t="str">
        <f>IF(ISNUMBER(IF(J_V="SI",Datos!L9,Datos!L9+Datos!AB9)-IF(Monitorios="SI",Datos!CD9,0)),
                          IF(J_V="SI",Datos!L9,Datos!L9+Datos!AB9)-IF(Monitorios="SI",Datos!CD9,0),
                          " - ")</f>
        <v xml:space="preserve"> - </v>
      </c>
      <c r="AB9" s="334"/>
      <c r="AC9" s="334"/>
      <c r="AD9" s="484"/>
      <c r="AE9" s="484">
        <f>IF(ISNUMBER(Datos!R9),Datos!R9," - ")</f>
        <v>8737</v>
      </c>
      <c r="AF9" s="229" t="str">
        <f>IF(ISNUMBER(Datos!BV9),Datos!BV9," - ")</f>
        <v xml:space="preserve"> - </v>
      </c>
      <c r="AG9" s="225" t="str">
        <f>IF(ISNUMBER(Datos!DV9),Datos!DV9," - ")</f>
        <v xml:space="preserve"> - </v>
      </c>
      <c r="AH9" s="298"/>
      <c r="AI9" s="227"/>
      <c r="AJ9" s="225">
        <f>IF(ISNUMBER(Datos!M9),Datos!M9," - ")</f>
        <v>1276</v>
      </c>
      <c r="AK9" s="229">
        <f>IF(ISNUMBER(Datos!N9),Datos!N9," - ")</f>
        <v>1052</v>
      </c>
      <c r="AL9" s="229" t="str">
        <f>IF(ISNUMBER(Datos!BW9),Datos!BW9," - ")</f>
        <v xml:space="preserve"> - </v>
      </c>
      <c r="AM9" s="228" t="str">
        <f>IF(ISNUMBER(Datos!BX9),Datos!BX9," - ")</f>
        <v xml:space="preserve"> - </v>
      </c>
      <c r="AN9" s="243"/>
      <c r="AO9" s="260">
        <f>IF(ISNUMBER(((NºAsuntos!I9/NºAsuntos!G9)*11)/factor_trimestre),((NºAsuntos!I9/NºAsuntos!G9)*11)/factor_trimestre," - ")</f>
        <v>9.8669935642047211</v>
      </c>
      <c r="AP9" s="230" t="str">
        <f>IF(ISNUMBER(Datos!CI9/Datos!CJ9),Datos!CI9/Datos!CJ9," - ")</f>
        <v xml:space="preserve"> - </v>
      </c>
      <c r="AQ9" s="230" t="str">
        <f>IF(ISNUMBER((J9-Y9+K9)/(F9)),(J9-Y9+K9)/(F9)," - ")</f>
        <v xml:space="preserve"> - </v>
      </c>
      <c r="AR9" s="230">
        <f>IF(ISNUMBER((Datos!P9-Datos!Q9+Datos!DE9)/(Datos!R9-Datos!P9+Datos!Q9-Datos!DE9)),(Datos!P9-Datos!Q9+Datos!DE9)/(Datos!R9-Datos!P9+Datos!Q9-Datos!DE9)," - ")</f>
        <v>2.6795158067928076E-2</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1</v>
      </c>
      <c r="F10" s="225">
        <f>IF(ISNUMBER(Datos!L10+Datos!K10-Datos!J10),Datos!L10+Datos!K10-Datos!J10," - ")</f>
        <v>66</v>
      </c>
      <c r="G10" s="225">
        <f>IF(ISNUMBER(Datos!I10),Datos!I10," - ")</f>
        <v>66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6</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41</v>
      </c>
      <c r="Z10" s="619">
        <f>IF(ISNUMBER(Datos!Q10),Datos!Q10," - ")</f>
        <v>4</v>
      </c>
      <c r="AA10" s="332">
        <f>IF(ISNUMBER(Datos!L10),Datos!L10,"-")</f>
        <v>63</v>
      </c>
      <c r="AB10" s="334"/>
      <c r="AC10" s="334"/>
      <c r="AD10" s="484"/>
      <c r="AE10" s="484">
        <f>IF(ISNUMBER(Datos!R10),Datos!R10," - ")</f>
        <v>40</v>
      </c>
      <c r="AF10" s="229" t="str">
        <f>IF(ISNUMBER(Datos!BV10),Datos!BV10," - ")</f>
        <v xml:space="preserve"> - </v>
      </c>
      <c r="AG10" s="225" t="str">
        <f>IF(ISNUMBER(Datos!DV10),Datos!DV10," - ")</f>
        <v xml:space="preserve"> - </v>
      </c>
      <c r="AH10" s="298"/>
      <c r="AI10" s="227"/>
      <c r="AJ10" s="225">
        <f>IF(ISNUMBER(Datos!M10),Datos!M10," - ")</f>
        <v>15</v>
      </c>
      <c r="AK10" s="229">
        <f>IF(ISNUMBER(Datos!N10),Datos!N10," - ")</f>
        <v>20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4.6097560975609762</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5.2631578947368418E-2</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0</v>
      </c>
      <c r="B12" s="507" t="s">
        <v>246</v>
      </c>
      <c r="C12" s="7" t="str">
        <f>Datos!A12</f>
        <v xml:space="preserve">Jdos. 1ª Instª. e Instr.                        </v>
      </c>
      <c r="D12" s="508"/>
      <c r="E12" s="1168">
        <f>IF(ISNUMBER(Datos!AQ12),Datos!AQ12," - ")</f>
        <v>0</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t="str">
        <f>IF(ISNUMBER(Datos!Q12),Datos!Q12," - ")</f>
        <v xml:space="preserve"> - </v>
      </c>
      <c r="AA12" s="332" t="str">
        <f>IF(ISNUMBER(IF(J_V="SI",Datos!L12,Datos!L12+Datos!AB12)-IF(Monitorios="SI",Datos!CD12,0)),
                          IF(J_V="SI",Datos!L12,Datos!L12+Datos!AB12)-IF(Monitorios="SI",Datos!CD12,0),
                          " - ")</f>
        <v xml:space="preserve"> - </v>
      </c>
      <c r="AB12" s="334"/>
      <c r="AC12" s="334"/>
      <c r="AD12" s="484"/>
      <c r="AE12" s="484" t="str">
        <f>IF(ISNUMBER(Datos!R12),Datos!R12," - ")</f>
        <v xml:space="preserve"> - </v>
      </c>
      <c r="AF12" s="229" t="str">
        <f>IF(ISNUMBER(Datos!BV12),Datos!BV12," - ")</f>
        <v xml:space="preserve"> - </v>
      </c>
      <c r="AG12" s="225" t="str">
        <f>IF(ISNUMBER(Datos!DV12),Datos!DV12," - ")</f>
        <v xml:space="preserve"> - </v>
      </c>
      <c r="AH12" s="298"/>
      <c r="AI12" s="227"/>
      <c r="AJ12" s="225" t="str">
        <f>IF(ISNUMBER(Datos!M12),Datos!M12," - ")</f>
        <v xml:space="preserve"> - </v>
      </c>
      <c r="AK12" s="229" t="str">
        <f>IF(ISNUMBER(Datos!N12),Datos!N12," - ")</f>
        <v xml:space="preserve"> - </v>
      </c>
      <c r="AL12" s="229" t="str">
        <f>IF(ISNUMBER(Datos!BW12),Datos!BW12," - ")</f>
        <v xml:space="preserve"> - </v>
      </c>
      <c r="AM12" s="228" t="str">
        <f>IF(ISNUMBER(Datos!BX12),Datos!BX12," - ")</f>
        <v xml:space="preserve"> - </v>
      </c>
      <c r="AN12" s="243"/>
      <c r="AO12" s="260" t="str">
        <f>IF(ISNUMBER(((NºAsuntos!I12/NºAsuntos!G12)*11)/factor_trimestre),((NºAsuntos!I12/NºAsuntos!G12)*11)/factor_trimestre," - ")</f>
        <v xml:space="preserve"> - </v>
      </c>
      <c r="AP12" s="230" t="str">
        <f>IF(ISNUMBER(Datos!CI12/Datos!CJ12),Datos!CI12/Datos!CJ12," - ")</f>
        <v xml:space="preserve"> - </v>
      </c>
      <c r="AQ12" s="230" t="str">
        <f>IF(ISNUMBER((I12-Y12+K12)/(F12)),(I12-Y12+K12)/(F12)," - ")</f>
        <v xml:space="preserve"> - </v>
      </c>
      <c r="AR12" s="230" t="str">
        <f>IF(ISNUMBER((Datos!P12-Datos!Q12+Datos!DE12)/(Datos!R12-Datos!P12+Datos!Q12-Datos!DE12)),(Datos!P12-Datos!Q12+Datos!DE12)/(Datos!R12-Datos!P12+Datos!Q12-Datos!DE12)," - ")</f>
        <v xml:space="preserve"> - </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7</v>
      </c>
      <c r="F13" s="898">
        <f>SUBTOTAL(9,F8:F12)</f>
        <v>66</v>
      </c>
      <c r="G13" s="898">
        <f>SUBTOTAL(9,G8:G12)</f>
        <v>66</v>
      </c>
      <c r="H13" s="908"/>
      <c r="I13" s="898">
        <f t="shared" ref="I13:N13" si="0">SUBTOTAL(9,I8:I12)</f>
        <v>0</v>
      </c>
      <c r="J13" s="867">
        <f t="shared" si="0"/>
        <v>0</v>
      </c>
      <c r="K13" s="908">
        <f t="shared" si="0"/>
        <v>0</v>
      </c>
      <c r="L13" s="908">
        <f t="shared" si="0"/>
        <v>0</v>
      </c>
      <c r="M13" s="908">
        <f t="shared" si="0"/>
        <v>0</v>
      </c>
      <c r="N13" s="908">
        <f t="shared" si="0"/>
        <v>590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41</v>
      </c>
      <c r="Z13" s="907">
        <f t="shared" si="2"/>
        <v>360</v>
      </c>
      <c r="AA13" s="900">
        <f t="shared" si="2"/>
        <v>63</v>
      </c>
      <c r="AB13" s="900">
        <f t="shared" si="2"/>
        <v>0</v>
      </c>
      <c r="AC13" s="900">
        <f t="shared" si="2"/>
        <v>0</v>
      </c>
      <c r="AD13" s="900">
        <f t="shared" si="2"/>
        <v>0</v>
      </c>
      <c r="AE13" s="900">
        <f t="shared" si="2"/>
        <v>8777</v>
      </c>
      <c r="AF13" s="908">
        <f t="shared" si="2"/>
        <v>0</v>
      </c>
      <c r="AG13" s="908">
        <f t="shared" si="2"/>
        <v>0</v>
      </c>
      <c r="AH13" s="908">
        <f t="shared" si="2"/>
        <v>0</v>
      </c>
      <c r="AI13" s="908">
        <f t="shared" si="2"/>
        <v>0</v>
      </c>
      <c r="AJ13" s="908">
        <f t="shared" si="2"/>
        <v>1291</v>
      </c>
      <c r="AK13" s="908">
        <f t="shared" si="2"/>
        <v>1072</v>
      </c>
      <c r="AL13" s="908">
        <f t="shared" si="2"/>
        <v>0</v>
      </c>
      <c r="AM13" s="908">
        <f t="shared" si="2"/>
        <v>0</v>
      </c>
      <c r="AN13" s="908">
        <f t="shared" si="2"/>
        <v>0</v>
      </c>
      <c r="AO13" s="904">
        <f>IF(ISNUMBER(((NºAsuntos!I13/NºAsuntos!G13)*11)/factor_trimestre),((NºAsuntos!I13/NºAsuntos!G13)*11)/factor_trimestre," - ")</f>
        <v>9.801755447941888</v>
      </c>
      <c r="AP13" s="910" t="str">
        <f>IF(ISNUMBER(Datos!CI13/Datos!CJ13),Datos!CI13/Datos!CJ13," - ")</f>
        <v xml:space="preserve"> - </v>
      </c>
      <c r="AQ13" s="928">
        <f t="shared" ref="AQ13:AV13" si="3">SUBTOTAL(9,AQ9:AQ12)</f>
        <v>0</v>
      </c>
      <c r="AR13" s="928">
        <f t="shared" si="3"/>
        <v>7.9426737015296497E-2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4</v>
      </c>
      <c r="B15" s="507" t="s">
        <v>396</v>
      </c>
      <c r="C15" s="160" t="str">
        <f>Datos!A15</f>
        <v xml:space="preserve">Jdos. Instrucción                               </v>
      </c>
      <c r="D15" s="502"/>
      <c r="E15" s="1168">
        <f>IF(ISNUMBER(Datos!AQ15),Datos!AQ15," - ")</f>
        <v>4</v>
      </c>
      <c r="F15" s="333">
        <f>IF(ISNUMBER(AA15+Y15-Datos!J15-K15),AA15+Y15-Datos!J15-K15," - ")</f>
        <v>1226</v>
      </c>
      <c r="G15" s="225">
        <f>IF(ISNUMBER(IF(D_I="SI",Datos!I15,Datos!I15+Datos!AC15)),IF(D_I="SI",Datos!I15,Datos!I15+Datos!AC15)," - ")</f>
        <v>1220</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138</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f>IF(ISNUMBER(IF(D_I="SI",Datos!K15,Datos!K15+Datos!AE15)),IF(D_I="SI",Datos!K15,Datos!K15+Datos!AE15)," - ")</f>
        <v>1807</v>
      </c>
      <c r="Z15" s="619">
        <f>IF(ISNUMBER(Datos!Q15),Datos!Q15," - ")</f>
        <v>148</v>
      </c>
      <c r="AA15" s="332">
        <f>IF(ISNUMBER(IF(D_I="SI",Datos!L15,Datos!L15+Datos!AF15)),IF(D_I="SI",Datos!L15,Datos!L15+Datos!AF15)," - ")</f>
        <v>1094</v>
      </c>
      <c r="AB15" s="334"/>
      <c r="AC15" s="334"/>
      <c r="AD15" s="484"/>
      <c r="AE15" s="484">
        <f>IF(ISNUMBER(Datos!R15),Datos!R15," - ")</f>
        <v>237</v>
      </c>
      <c r="AF15" s="229" t="str">
        <f>IF(ISNUMBER(Datos!BV15),Datos!BV15," - ")</f>
        <v xml:space="preserve"> - </v>
      </c>
      <c r="AG15" s="225"/>
      <c r="AH15" s="298"/>
      <c r="AI15" s="227"/>
      <c r="AJ15" s="225">
        <f>IF(ISNUMBER(Datos!M15),Datos!M15," - ")</f>
        <v>331</v>
      </c>
      <c r="AK15" s="229">
        <f>IF(ISNUMBER(Datos!N15),Datos!N15," - ")</f>
        <v>1052</v>
      </c>
      <c r="AL15" s="229" t="str">
        <f>IF(ISNUMBER(Datos!BW15),Datos!BW15," - ")</f>
        <v xml:space="preserve"> - </v>
      </c>
      <c r="AM15" s="228" t="str">
        <f>IF(ISNUMBER(Datos!BX15),Datos!BX15," - ")</f>
        <v xml:space="preserve"> - </v>
      </c>
      <c r="AN15" s="243"/>
      <c r="AO15" s="260">
        <f>IF(ISNUMBER(((NºAsuntos!I15/NºAsuntos!G15)*11)/factor_trimestre),((NºAsuntos!I15/NºAsuntos!G15)*11)/factor_trimestre," - ")</f>
        <v>1.8162700608743776</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0</v>
      </c>
      <c r="B16" s="507" t="s">
        <v>396</v>
      </c>
      <c r="C16" s="160" t="str">
        <f>Datos!A16</f>
        <v xml:space="preserve">Jdos. 1ª Instª. e Instr.                        </v>
      </c>
      <c r="D16" s="502"/>
      <c r="E16" s="1168">
        <f>IF(ISNUMBER(Datos!AQ16),Datos!AQ16," - ")</f>
        <v>0</v>
      </c>
      <c r="F16" s="333" t="str">
        <f>IF(ISNUMBER(AA16+Y16-Datos!J16-K15),AA16+Y16-Datos!J16-K15," - ")</f>
        <v xml:space="preserve"> - </v>
      </c>
      <c r="G16" s="225" t="str">
        <f>IF(ISNUMBER(IF(D_I="SI",Datos!I16,Datos!I16+Datos!AC16)),IF(D_I="SI",Datos!I16,Datos!I16+Datos!AC16)," - ")</f>
        <v xml:space="preserve"> - </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t="str">
        <f>IF(ISNUMBER(IF(D_I="SI",Datos!K16,Datos!K16+Datos!AE16)),IF(D_I="SI",Datos!K16,Datos!K16+Datos!AE16)," - ")</f>
        <v xml:space="preserve"> - </v>
      </c>
      <c r="Z16" s="619" t="str">
        <f>IF(ISNUMBER(Datos!Q16),Datos!Q16," - ")</f>
        <v xml:space="preserve"> - </v>
      </c>
      <c r="AA16" s="332" t="str">
        <f>IF(ISNUMBER(IF(D_I="SI",Datos!L16,Datos!L16+Datos!AF16)),IF(D_I="SI",Datos!L16,Datos!L16+Datos!AF16)," - ")</f>
        <v xml:space="preserve"> - </v>
      </c>
      <c r="AB16" s="334"/>
      <c r="AC16" s="334"/>
      <c r="AD16" s="484"/>
      <c r="AE16" s="484" t="str">
        <f>IF(ISNUMBER(Datos!R16),Datos!R16," - ")</f>
        <v xml:space="preserve"> - </v>
      </c>
      <c r="AF16" s="229" t="str">
        <f>IF(ISNUMBER(Datos!BV16),Datos!BV16," - ")</f>
        <v xml:space="preserve"> - </v>
      </c>
      <c r="AG16" s="225"/>
      <c r="AH16" s="298"/>
      <c r="AI16" s="227"/>
      <c r="AJ16" s="225" t="str">
        <f>IF(ISNUMBER(Datos!M16),Datos!M16," - ")</f>
        <v xml:space="preserve"> - </v>
      </c>
      <c r="AK16" s="229" t="str">
        <f>IF(ISNUMBER(Datos!N16),Datos!N16," - ")</f>
        <v xml:space="preserve"> - </v>
      </c>
      <c r="AL16" s="229" t="str">
        <f>IF(ISNUMBER(Datos!BW16),Datos!BW16," - ")</f>
        <v xml:space="preserve"> - </v>
      </c>
      <c r="AM16" s="228" t="str">
        <f>IF(ISNUMBER(Datos!BX16),Datos!BX16," - ")</f>
        <v xml:space="preserve"> - </v>
      </c>
      <c r="AN16" s="243"/>
      <c r="AO16" s="260" t="str">
        <f>IF(ISNUMBER(((NºAsuntos!I16/NºAsuntos!G16)*11)/factor_trimestre),((NºAsuntos!I16/NºAsuntos!G16)*11)/factor_trimestre," - ")</f>
        <v xml:space="preserve"> - </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1</v>
      </c>
      <c r="F17" s="225" t="str">
        <f>IF(ISNUMBER(AA17+Y17-I17-K17),AA17+Y17-I17-K17," - ")</f>
        <v xml:space="preserve"> - </v>
      </c>
      <c r="G17" s="523">
        <f>IF(ISNUMBER(IF(D_I="SI",Datos!I17,Datos!I17+Datos!AC17)),IF(D_I="SI",Datos!I17,Datos!I17+Datos!AC17)," - ")</f>
        <v>218</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7</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565</v>
      </c>
      <c r="Z17" s="619">
        <f>IF(ISNUMBER(Datos!Q17),Datos!Q17," - ")</f>
        <v>1</v>
      </c>
      <c r="AA17" s="332">
        <f>IF(ISNUMBER(Datos!L17),Datos!L17,"-")</f>
        <v>203</v>
      </c>
      <c r="AB17" s="334"/>
      <c r="AC17" s="334"/>
      <c r="AD17" s="484"/>
      <c r="AE17" s="484">
        <f>IF(ISNUMBER(Datos!R17),Datos!R17," - ")</f>
        <v>12</v>
      </c>
      <c r="AF17" s="229" t="str">
        <f>IF(ISNUMBER(Datos!BV17),Datos!BV17," - ")</f>
        <v xml:space="preserve"> - </v>
      </c>
      <c r="AG17" s="225" t="str">
        <f>IF(ISNUMBER(Datos!DV17),Datos!DV17," - ")</f>
        <v xml:space="preserve"> - </v>
      </c>
      <c r="AH17" s="298"/>
      <c r="AI17" s="227"/>
      <c r="AJ17" s="225">
        <f>IF(ISNUMBER(Datos!M17),Datos!M17," - ")</f>
        <v>39</v>
      </c>
      <c r="AK17" s="229">
        <f>IF(ISNUMBER(Datos!N17),Datos!N17," - ")</f>
        <v>420</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1.0778761061946902</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5</v>
      </c>
      <c r="F18" s="898">
        <f>SUBTOTAL(9,F15:F17)</f>
        <v>1226</v>
      </c>
      <c r="G18" s="898">
        <f>SUBTOTAL(9,G15:G17)</f>
        <v>1438</v>
      </c>
      <c r="H18" s="932">
        <f>SUBTOTAL(9,H15:H17)</f>
        <v>0</v>
      </c>
      <c r="I18" s="911">
        <f>SUBTOTAL(9,I15:I17)</f>
        <v>0</v>
      </c>
      <c r="J18" s="867">
        <f>SUBTOTAL(9,J14:J17)</f>
        <v>0</v>
      </c>
      <c r="K18" s="932">
        <f t="shared" ref="K18:S18" si="4">SUBTOTAL(9,K15:K17)</f>
        <v>0</v>
      </c>
      <c r="L18" s="932">
        <f t="shared" si="4"/>
        <v>0</v>
      </c>
      <c r="M18" s="932">
        <f t="shared" si="4"/>
        <v>0</v>
      </c>
      <c r="N18" s="932">
        <f t="shared" si="4"/>
        <v>145</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2372</v>
      </c>
      <c r="Z18" s="932">
        <f t="shared" si="5"/>
        <v>149</v>
      </c>
      <c r="AA18" s="932">
        <f t="shared" si="5"/>
        <v>1297</v>
      </c>
      <c r="AB18" s="932">
        <f t="shared" si="5"/>
        <v>0</v>
      </c>
      <c r="AC18" s="932">
        <f t="shared" si="5"/>
        <v>0</v>
      </c>
      <c r="AD18" s="932">
        <f t="shared" si="5"/>
        <v>0</v>
      </c>
      <c r="AE18" s="932">
        <f t="shared" si="5"/>
        <v>249</v>
      </c>
      <c r="AF18" s="932">
        <f t="shared" si="5"/>
        <v>0</v>
      </c>
      <c r="AG18" s="932">
        <f t="shared" si="5"/>
        <v>0</v>
      </c>
      <c r="AH18" s="932">
        <f t="shared" si="5"/>
        <v>0</v>
      </c>
      <c r="AI18" s="932">
        <f t="shared" si="5"/>
        <v>0</v>
      </c>
      <c r="AJ18" s="932">
        <f t="shared" si="5"/>
        <v>370</v>
      </c>
      <c r="AK18" s="932">
        <f t="shared" si="5"/>
        <v>1472</v>
      </c>
      <c r="AL18" s="932">
        <f t="shared" si="5"/>
        <v>0</v>
      </c>
      <c r="AM18" s="932">
        <f t="shared" si="5"/>
        <v>0</v>
      </c>
      <c r="AN18" s="932">
        <f t="shared" si="5"/>
        <v>0</v>
      </c>
      <c r="AO18" s="934">
        <f>IF(ISNUMBER(((NºAsuntos!I18/NºAsuntos!G18)*11)/factor_trimestre),((NºAsuntos!I18/NºAsuntos!G18)*11)/factor_trimestre," - ")</f>
        <v>1.6403878583473863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12</v>
      </c>
      <c r="F19" s="820">
        <f t="shared" si="7"/>
        <v>1292</v>
      </c>
      <c r="G19" s="820">
        <f t="shared" si="7"/>
        <v>1504</v>
      </c>
      <c r="H19" s="821">
        <f t="shared" si="7"/>
        <v>0</v>
      </c>
      <c r="I19" s="820">
        <f t="shared" si="7"/>
        <v>0</v>
      </c>
      <c r="J19" s="822">
        <f t="shared" si="7"/>
        <v>0</v>
      </c>
      <c r="K19" s="820">
        <f t="shared" si="7"/>
        <v>0</v>
      </c>
      <c r="L19" s="823">
        <f t="shared" si="7"/>
        <v>0</v>
      </c>
      <c r="M19" s="820">
        <f t="shared" si="7"/>
        <v>0</v>
      </c>
      <c r="N19" s="821">
        <f t="shared" si="7"/>
        <v>735</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2413</v>
      </c>
      <c r="Z19" s="827">
        <f t="shared" si="8"/>
        <v>509</v>
      </c>
      <c r="AA19" s="828">
        <f t="shared" si="8"/>
        <v>1360</v>
      </c>
      <c r="AB19" s="828">
        <f t="shared" si="8"/>
        <v>0</v>
      </c>
      <c r="AC19" s="828">
        <f t="shared" si="8"/>
        <v>0</v>
      </c>
      <c r="AD19" s="829">
        <f t="shared" si="8"/>
        <v>0</v>
      </c>
      <c r="AE19" s="829">
        <f t="shared" si="8"/>
        <v>9026</v>
      </c>
      <c r="AF19" s="830">
        <f t="shared" si="8"/>
        <v>0</v>
      </c>
      <c r="AG19" s="831">
        <f t="shared" si="8"/>
        <v>0</v>
      </c>
      <c r="AH19" s="832">
        <f t="shared" si="8"/>
        <v>0</v>
      </c>
      <c r="AI19" s="830">
        <f t="shared" si="8"/>
        <v>0</v>
      </c>
      <c r="AJ19" s="820">
        <f t="shared" si="8"/>
        <v>1661</v>
      </c>
      <c r="AK19" s="820">
        <f t="shared" si="8"/>
        <v>2544</v>
      </c>
      <c r="AL19" s="820">
        <f t="shared" si="8"/>
        <v>0</v>
      </c>
      <c r="AM19" s="833">
        <f t="shared" si="8"/>
        <v>0</v>
      </c>
      <c r="AN19" s="823">
        <f>IF(ISNUMBER(Datos!K19/Datos!J19),Datos!K19/Datos!J19," - ")</f>
        <v>1.2654927967070662</v>
      </c>
      <c r="AO19" s="823">
        <f>IF(ISNUMBER(FIND("06",Criterios!A8,1)),(IF(ISNUMBER(((Datos!R19/Datos!Q19)*11)/factor_trimestre),((Datos!R19/Datos!Q19)*11)/factor_trimestre," - ")),(IF(ISNUMBER(((Datos!L19/Datos!K19)*11)/factor_trimestre),((Datos!L19/Datos!K19)*11)/factor_trimestre," - ")))</f>
        <v>6.3805565594506684</v>
      </c>
      <c r="AP19" s="834" t="str">
        <f>IF(ISNUMBER(Datos!CI19/Datos!CJ19),Datos!CI19/Datos!CJ19," - ")</f>
        <v xml:space="preserve"> - </v>
      </c>
      <c r="AQ19" s="834">
        <f>IF(OR(ISNUMBER(FIND("01",Criterios!A8,1)),ISNUMBER(FIND("02",Criterios!A8,1)),ISNUMBER(FIND("03",Criterios!A8,1)),ISNUMBER(FIND("04",Criterios!A8,1))),(J19-Y19+K19)/(F19-K19),(I19-Y19+K19)/(F19-K19))</f>
        <v>-1.8676470588235294</v>
      </c>
      <c r="AR19" s="834">
        <f>IF(ISNUMBER((Datos!P19-Datos!Q19+O19)/(Datos!R19-Datos!P19+Datos!Q19-O19)),(Datos!P19-Datos!Q19+O19)/(Datos!R19-Datos!P19+Datos!Q19-O19)," - ")</f>
        <v>2.5681818181818181E-2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601.6</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669.72631225996588</v>
      </c>
      <c r="G21" s="552">
        <f>IF(ISNUMBER(STDEV(G8:G18)),STDEV(G8:G18),"-")</f>
        <v>671.35445183598802</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583.74366520474257</v>
      </c>
      <c r="AK21" s="252"/>
      <c r="AL21" s="252">
        <f>IF(ISNUMBER(STDEV(AL8:AL18)),STDEV(AL8:AL18),"-")</f>
        <v>0</v>
      </c>
      <c r="AM21" s="254">
        <f>IF(ISNUMBER(STDEV(AM8:AM18)),STDEV(AM8:AM18),"-")</f>
        <v>0</v>
      </c>
      <c r="AN21" s="539">
        <f>IF(ISNUMBER(STDEV(AN8:AN18)),STDEV(AN8:AN18),"-")</f>
        <v>0</v>
      </c>
      <c r="AO21" s="540">
        <f>IF(ISNUMBER(STDEV(AO8:AO18)),STDEV(AO8:AO18),"-")</f>
        <v>4.0857837745716754</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OEV8NSQgd8o48X85Bj7FZ7wfpwuHxUyMipyh8L/O3Zzhbp5g+7argRAxtQL7xQd6ifcCuBTBXEH9Wo93fcns1w==" saltValue="bE8IQnB+W7vdtZqjI6duNg=="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qVdYajwgSKNKao5a+BivjAX6EHMuswiXb+8eCgG6lvtHOhgu9vJSJbiFTBTC1/TzUc5v9aCqdKf10ptZQ/chIA==" saltValue="TL1j0OtT+9fI0eo/qGEKq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ANDALUCIA</v>
      </c>
    </row>
    <row r="4" spans="1:156" ht="13.5" thickBot="1">
      <c r="A4" t="str">
        <f>Criterios!A10</f>
        <v>Provincias</v>
      </c>
      <c r="B4" t="str">
        <f>Criterios!B10</f>
        <v>CADIZ</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SGI7B+r1+qRC6d6T7gqiB3/4o5lNDRyrwWD8Atm1T3xkZGTLjsrTqYzfvX8UlQjQXjhlWnx2CgqQQafNi2jug==" saltValue="EmWLm7OJMbYiUhQDHhW7gQ=="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ANDALUCIA</v>
      </c>
    </row>
    <row r="2" spans="1:78" ht="16.5" customHeight="1">
      <c r="C2" s="488" t="str">
        <f>Criterios!A10 &amp;"  "&amp;Criterios!B10 &amp; "  " &amp; IF(NOT(ISBLANK(Criterios!A11)),Criterios!A11 &amp;"  "&amp;Criterios!B11,"")</f>
        <v>Provincias  CADIZ  Resumenes por Partidos Judiciales  CADIZ</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0.39073849878934624</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0.27629384216459829</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rX3v1M2lPT74mQFL1JyagT375f/hv3lWew9ivbK2rQrac60R//69xtz9R4TmdJql4Zt3tylsyhoO/kbTl4L75w==" saltValue="M7vFF/RfnFBnet5meMpQ2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9qQ5nb+AH+w58fWT7RD4/QCHK44MwpIE/0fPfPxgbE+QX47/DfaDPV45IRh5hor20GvIkqrl4nRFjV7b8lovfw==" saltValue="pKEOg7lu8k2pb7BOijA+6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ANDALUCIA</v>
      </c>
      <c r="W1"/>
      <c r="X1"/>
    </row>
    <row r="2" spans="1:78" ht="16.5" customHeight="1">
      <c r="C2" s="488" t="str">
        <f>Criterios!A10 &amp;"  "&amp;Criterios!B10 &amp; "  " &amp; IF(NOT(ISBLANK(Criterios!A11)),Criterios!A11 &amp;"  "&amp;Criterios!B11,"")</f>
        <v>Provincias  CADIZ  Resumenes por Partidos Judiciales  CADIZ</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6</v>
      </c>
      <c r="B9" s="501" t="s">
        <v>246</v>
      </c>
      <c r="C9" s="160" t="str">
        <f>Datos!A9</f>
        <v xml:space="preserve">Jdos. 1ª Instancia   </v>
      </c>
      <c r="D9" s="502"/>
      <c r="E9" s="682">
        <f>IF(ISNUMBER(Datos!AQ9),Datos!AQ9," - ")</f>
        <v>6</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1</v>
      </c>
      <c r="F10" s="683">
        <f>IF(ISNUMBER(Datos!L10+Datos!K10-Datos!J10),Datos!L10+Datos!K10-Datos!J10," - ")</f>
        <v>66</v>
      </c>
      <c r="G10" s="684">
        <f>IF(ISNUMBER(Datos!I10),Datos!I10," - ")</f>
        <v>66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6</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f>IF(ISNUMBER(DatosP!AS17/E10),DatosP!AS17/E10," - ")</f>
        <v>0</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41</v>
      </c>
      <c r="AC10" s="683" t="str">
        <f>IF(ISNUMBER(IF(D_I="SI",DatosP!K17,DatosP!K17+DatosP!AE17)),IF(D_I="SI",DatosP!K17,DatosP!K17+DatosP!AE17)," - ")</f>
        <v xml:space="preserve"> - </v>
      </c>
      <c r="AD10" s="685"/>
      <c r="AE10" s="685"/>
      <c r="AF10" s="688">
        <f>IF(ISNUMBER(Datos!L10),Datos!L10,"-")</f>
        <v>63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15</v>
      </c>
      <c r="AM10" s="690">
        <f>IF(ISNUMBER(Datos!N10+DatosP!N17),Datos!N10+DatosP!N17," - ")</f>
        <v>20</v>
      </c>
      <c r="AN10" s="690">
        <f>IF(ISNUMBER(Datos!BW10+DatosP!BW17),Datos!BW10+DatosP!BW17," - ")</f>
        <v>0</v>
      </c>
      <c r="AO10" s="691">
        <f>IF(ISNUMBER(Datos!BX10+DatosP!BX17),Datos!BX10+DatosP!BX17," - ")</f>
        <v>0</v>
      </c>
      <c r="AP10" s="693">
        <f>IF(ISNUMBER(((Datos!L10/Datos!K10)*11)/factor_trimestre),((Datos!L10/Datos!K10)*11)/factor_trimestre," - ")</f>
        <v>4.6097560975609762</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0</v>
      </c>
      <c r="B12" s="507" t="s">
        <v>246</v>
      </c>
      <c r="C12" s="7" t="str">
        <f>Datos!A12</f>
        <v xml:space="preserve">Jdos. 1ª Instª. e Instr.                        </v>
      </c>
      <c r="D12" s="508"/>
      <c r="E12" s="682">
        <f>IF(ISNUMBER(Datos!AQ12),Datos!AQ12," - ")</f>
        <v>0</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0</v>
      </c>
      <c r="O12" s="685">
        <f>IF(ISNUMBER(DatosP!P16),DatosP!P16,0)</f>
        <v>0</v>
      </c>
      <c r="P12" s="685" t="str">
        <f>IF(ISNUMBER(DatosP!DE16),DatosP!DE16," - ")</f>
        <v xml:space="preserve"> - </v>
      </c>
      <c r="Q12" s="686"/>
      <c r="R12" s="686"/>
      <c r="S12" s="685" t="str">
        <f>IF(ISNUMBER(Datos!AS12*(2500/380)+DatosP!AS16),Datos!AS12*(2500/380)+DatosP!AS16," - ")</f>
        <v xml:space="preserve"> - </v>
      </c>
      <c r="T12" s="685" t="str">
        <f>IF(ISNUMBER(DatosP!AS16/E12),DatosP!AS16/E12," - ")</f>
        <v xml:space="preserve"> - </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t="str">
        <f>IF(ISNUMBER(Datos!Q12),Datos!Q12," - ")</f>
        <v xml:space="preserve"> - </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t="str">
        <f>IF(ISNUMBER(Datos!R12),Datos!R12," - ")</f>
        <v xml:space="preserve"> - </v>
      </c>
      <c r="AI12" s="689" t="str">
        <f>IF(ISNUMBER(DatosP!R16),DatosP!R16," - ")</f>
        <v xml:space="preserve"> - </v>
      </c>
      <c r="AJ12" s="682">
        <f>IF(ISNUMBER(Datos!BV12+DatosP!BV16),Datos!BV12+DatosP!BV16," - ")</f>
        <v>0</v>
      </c>
      <c r="AK12" s="672" t="str">
        <f>IF(ISNUMBER(Datos!DV12),Datos!DV12," - ")</f>
        <v xml:space="preserve"> - </v>
      </c>
      <c r="AL12" s="683" t="str">
        <f>IF(ISNUMBER(Datos!M12+DatosP!M16),Datos!M12+DatosP!M16," - ")</f>
        <v xml:space="preserve"> - </v>
      </c>
      <c r="AM12" s="690" t="str">
        <f>IF(ISNUMBER(Datos!N12+DatosP!N16),Datos!N12+DatosP!N16," - ")</f>
        <v xml:space="preserve"> - </v>
      </c>
      <c r="AN12" s="690">
        <f>IF(ISNUMBER(Datos!BW12+DatosP!BW16),Datos!BW12+DatosP!BW16," - ")</f>
        <v>0</v>
      </c>
      <c r="AO12" s="691">
        <f>IF(ISNUMBER(Datos!BX12+DatosP!BX16),Datos!BX12+DatosP!BX16," - ")</f>
        <v>0</v>
      </c>
      <c r="AP12" s="693" t="str">
        <f>IF(ISNUMBER(((IF(J_V="SI",Datos!L12/Datos!K12,(Datos!L12+Datos!AB12)/(Datos!K12+Datos!AA12)))*11)/factor_trimestre),((IF(J_V="SI",Datos!L12/Datos!K12,(Datos!L12+Datos!AB12)/(Datos!K12+Datos!AA12)))*11)/factor_trimestre," - ")</f>
        <v xml:space="preserve"> - </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t="str">
        <f>IF(ISNUMBER((Datos!P12-Datos!Q12+Datos!DE12)/(Datos!R12-Datos!P12+Datos!Q12-Datos!DE12)),(Datos!P12-Datos!Q12+Datos!DE12)/(Datos!R12-Datos!P12+Datos!Q12-Datos!DE12)," - ")</f>
        <v xml:space="preserve"> - </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7</v>
      </c>
      <c r="F13" s="938">
        <f t="shared" si="0"/>
        <v>66</v>
      </c>
      <c r="G13" s="938">
        <f t="shared" si="0"/>
        <v>66</v>
      </c>
      <c r="H13" s="938">
        <f t="shared" si="0"/>
        <v>0</v>
      </c>
      <c r="I13" s="940">
        <f t="shared" si="0"/>
        <v>0</v>
      </c>
      <c r="J13" s="939">
        <f t="shared" si="0"/>
        <v>0</v>
      </c>
      <c r="K13" s="939">
        <f t="shared" si="0"/>
        <v>0</v>
      </c>
      <c r="L13" s="941">
        <f t="shared" si="0"/>
        <v>0</v>
      </c>
      <c r="M13" s="941">
        <f t="shared" si="0"/>
        <v>0</v>
      </c>
      <c r="N13" s="939">
        <f t="shared" si="0"/>
        <v>6</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41</v>
      </c>
      <c r="AC13" s="939">
        <f t="shared" si="1"/>
        <v>0</v>
      </c>
      <c r="AD13" s="939">
        <f t="shared" si="1"/>
        <v>0</v>
      </c>
      <c r="AE13" s="939">
        <f t="shared" si="1"/>
        <v>0</v>
      </c>
      <c r="AF13" s="939">
        <f t="shared" si="1"/>
        <v>63</v>
      </c>
      <c r="AG13" s="939">
        <f t="shared" si="1"/>
        <v>0</v>
      </c>
      <c r="AH13" s="939">
        <f t="shared" si="1"/>
        <v>0</v>
      </c>
      <c r="AI13" s="939">
        <f t="shared" si="1"/>
        <v>0</v>
      </c>
      <c r="AJ13" s="939">
        <f t="shared" si="1"/>
        <v>0</v>
      </c>
      <c r="AK13" s="939">
        <f t="shared" si="1"/>
        <v>0</v>
      </c>
      <c r="AL13" s="939">
        <f t="shared" si="1"/>
        <v>15</v>
      </c>
      <c r="AM13" s="939">
        <f t="shared" si="1"/>
        <v>20</v>
      </c>
      <c r="AN13" s="939">
        <f t="shared" si="1"/>
        <v>0</v>
      </c>
      <c r="AO13" s="939">
        <f t="shared" si="1"/>
        <v>0</v>
      </c>
      <c r="AP13" s="944">
        <f>IF(ISNUMBER(((Datos!L13/Datos!K13)*11)/factor_trimestre),((Datos!L13/Datos!K13)*11)/factor_trimestre," - ")</f>
        <v>9.9364326375711567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-0.62121212121212122</v>
      </c>
      <c r="AU13" s="939" t="str">
        <f>IF(ISNUMBER((DatosP!#REF!-DatosP!#REF!+DatosP!#REF!)/(DatosP!#REF!+DatosP!#REF!-DatosP!#REF!-DatosP!#REF!)),(DatosP!#REF!-DatosP!#REF!+DatosP!#REF!)/(DatosP!#REF!+DatosP!#REF!-DatosP!#REF!-DatosP!#REF!)," - ")</f>
        <v xml:space="preserve"> - </v>
      </c>
      <c r="AV13" s="945">
        <f>SUBTOTAL(9,AV9:AV12)</f>
        <v>0</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4</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0</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1.6403878583473863</v>
      </c>
      <c r="AQ18" s="944">
        <f>IF(ISNUMBER(((Datos!M18/Datos!L18)*11)/factor_trimestre),((Datos!M18/Datos!L18)*11)/factor_trimestre," - ")</f>
        <v>0.85582112567463386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-1.5810276679841896E-2</v>
      </c>
      <c r="AW18" s="946">
        <f>IF(ISNUMBER((Datos!Q18-Datos!R18)/(Datos!S18-Datos!Q18+Datos!R18)),(Datos!Q18-Datos!R18)/(Datos!S18-Datos!Q18+Datos!R18)," - ")</f>
        <v>-8.3125519534497094E-2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7</v>
      </c>
      <c r="F19" s="951">
        <f t="shared" si="4"/>
        <v>66</v>
      </c>
      <c r="G19" s="951">
        <f t="shared" si="4"/>
        <v>66</v>
      </c>
      <c r="H19" s="951">
        <f t="shared" si="4"/>
        <v>0</v>
      </c>
      <c r="I19" s="952">
        <f t="shared" si="4"/>
        <v>0</v>
      </c>
      <c r="J19" s="953">
        <f t="shared" si="4"/>
        <v>0</v>
      </c>
      <c r="K19" s="953">
        <f t="shared" si="4"/>
        <v>0</v>
      </c>
      <c r="L19" s="953">
        <f t="shared" si="4"/>
        <v>0</v>
      </c>
      <c r="M19" s="953">
        <f t="shared" si="4"/>
        <v>0</v>
      </c>
      <c r="N19" s="952">
        <f t="shared" si="4"/>
        <v>6</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41</v>
      </c>
      <c r="AC19" s="957">
        <f t="shared" si="5"/>
        <v>0</v>
      </c>
      <c r="AD19" s="957">
        <f t="shared" si="5"/>
        <v>0</v>
      </c>
      <c r="AE19" s="957">
        <f t="shared" si="5"/>
        <v>0</v>
      </c>
      <c r="AF19" s="958">
        <f t="shared" si="5"/>
        <v>63</v>
      </c>
      <c r="AG19" s="958">
        <f t="shared" si="5"/>
        <v>0</v>
      </c>
      <c r="AH19" s="958">
        <f t="shared" si="5"/>
        <v>0</v>
      </c>
      <c r="AI19" s="958">
        <f t="shared" si="5"/>
        <v>0</v>
      </c>
      <c r="AJ19" s="959">
        <f t="shared" si="5"/>
        <v>0</v>
      </c>
      <c r="AK19" s="959">
        <f t="shared" si="5"/>
        <v>0</v>
      </c>
      <c r="AL19" s="951">
        <f t="shared" si="5"/>
        <v>15</v>
      </c>
      <c r="AM19" s="951">
        <f t="shared" si="5"/>
        <v>20</v>
      </c>
      <c r="AN19" s="951">
        <f t="shared" si="5"/>
        <v>0</v>
      </c>
      <c r="AO19" s="951">
        <f t="shared" si="5"/>
        <v>0</v>
      </c>
      <c r="AP19" s="951">
        <f>IF(ISNUMBER(((Datos!L19/Datos!K19)*11)/factor_trimestre),((Datos!L19/Datos!K19)*11)/factor_trimestre," - ")</f>
        <v>6.3805565594506684</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-0.62121212121212122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2.5681818181818181E-2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3.2659863237109041</v>
      </c>
      <c r="F21" s="736">
        <f>IF(ISNUMBER(STDEV(F8:F18)),STDEV(F8:F18),"-")</f>
        <v>38.105117766515299</v>
      </c>
      <c r="G21" s="737">
        <f>IF(ISNUMBER(STDEV(G8:G18)),STDEV(G8:G18),"-")</f>
        <v>38.105117766515299</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23.671361036774655</v>
      </c>
      <c r="AC21" s="738">
        <f>IF(ISNUMBER(STDEV(AC8:AC18)),STDEV(AC8:AC18),"-")</f>
        <v>0</v>
      </c>
      <c r="AD21" s="741"/>
      <c r="AE21" s="741"/>
      <c r="AF21" s="741"/>
      <c r="AG21" s="741"/>
      <c r="AH21" s="741"/>
      <c r="AI21" s="741"/>
      <c r="AJ21" s="742">
        <f>IF(ISNUMBER(STDEV(AJ8:AJ18)),STDEV(AJ8:AJ18),"-")</f>
        <v>0</v>
      </c>
      <c r="AK21" s="744"/>
      <c r="AL21" s="736">
        <f>IF(ISNUMBER(STDEV(AL8:AL18)),STDEV(AL8:AL18),"-")</f>
        <v>8.6602540378443873</v>
      </c>
      <c r="AM21" s="736"/>
      <c r="AN21" s="736">
        <f>IF(ISNUMBER(STDEV(AN8:AN18)),STDEV(AN8:AN18),"-")</f>
        <v>0</v>
      </c>
      <c r="AO21" s="742">
        <f>IF(ISNUMBER(STDEV(AO8:AO18)),STDEV(AO8:AO18),"-")</f>
        <v>0</v>
      </c>
      <c r="AP21" s="779">
        <f>IF(ISNUMBER(STDEV(AP8:AP18)),STDEV(AP8:AP18),"-")</f>
        <v>4.2034705835541661</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TdXQSwok//NIIMmdldGtvpB2oGEbklVmgLt+3o2++ouTe4t+fQz8ELQOZMV8c21ztRUKJAsnzM216ukZ7hrvYQ==" saltValue="8r8jKX+IpbGDPVh86sENA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2024-09-24T12:36:24Z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